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filterPrivacy="1" defaultThemeVersion="124226"/>
  <bookViews>
    <workbookView xWindow="120" yWindow="105" windowWidth="15120" windowHeight="8010" firstSheet="6" activeTab="10"/>
  </bookViews>
  <sheets>
    <sheet name="2016-2018_" sheetId="13" r:id="rId1"/>
    <sheet name="коэффициенты " sheetId="17" r:id="rId2"/>
    <sheet name="2017н" sheetId="18" r:id="rId3"/>
    <sheet name="2018н" sheetId="19" r:id="rId4"/>
    <sheet name="2017-2018" sheetId="21" r:id="rId5"/>
    <sheet name="2017" sheetId="20" r:id="rId6"/>
    <sheet name="2018" sheetId="22" r:id="rId7"/>
    <sheet name="2019" sheetId="23" r:id="rId8"/>
    <sheet name="коэффициенты1" sheetId="24" r:id="rId9"/>
    <sheet name="2017-2018 в разрезе видов" sheetId="25" r:id="rId10"/>
    <sheet name="последний вариант" sheetId="31" r:id="rId11"/>
    <sheet name="компенсир" sheetId="27" r:id="rId12"/>
    <sheet name="бассейн" sheetId="28" r:id="rId13"/>
    <sheet name="2 корпуса" sheetId="29" r:id="rId14"/>
    <sheet name="обычные" sheetId="30" r:id="rId15"/>
    <sheet name="градация по кол-ву детей" sheetId="26" r:id="rId16"/>
  </sheets>
  <definedNames>
    <definedName name="_xlnm._FilterDatabase" localSheetId="13" hidden="1">'2 корпуса'!$A$1:$A$157</definedName>
    <definedName name="_xlnm._FilterDatabase" localSheetId="5" hidden="1">'2017'!$W$1:$W$156</definedName>
    <definedName name="_xlnm._FilterDatabase" localSheetId="12" hidden="1">бассейн!$A$1:$A$157</definedName>
    <definedName name="_xlnm._FilterDatabase" localSheetId="11" hidden="1">компенсир!$A$1:$A$144</definedName>
    <definedName name="_xlnm._FilterDatabase" localSheetId="14" hidden="1">обычные!$A$1:$A$143</definedName>
    <definedName name="_xlnm.Print_Area" localSheetId="0">'2016-2018_'!$A$1:$G$97</definedName>
    <definedName name="_xlnm.Print_Area" localSheetId="4">'2017-2018'!$A$1:$H$18</definedName>
    <definedName name="_xlnm.Print_Area" localSheetId="9">'2017-2018 в разрезе видов'!$A$1:$H$30</definedName>
    <definedName name="_xlnm.Print_Area" localSheetId="2">'2017н'!$A$1:$R$152</definedName>
    <definedName name="_xlnm.Print_Area" localSheetId="10">'последний вариант'!$A$1:$K$32</definedName>
  </definedNames>
  <calcPr calcId="125725"/>
</workbook>
</file>

<file path=xl/calcChain.xml><?xml version="1.0" encoding="utf-8"?>
<calcChain xmlns="http://schemas.openxmlformats.org/spreadsheetml/2006/main">
  <c r="J29" i="31"/>
  <c r="C29"/>
  <c r="I28"/>
  <c r="K28" s="1"/>
  <c r="I27"/>
  <c r="K27" s="1"/>
  <c r="I26"/>
  <c r="K26" s="1"/>
  <c r="I25"/>
  <c r="K25" s="1"/>
  <c r="D21"/>
  <c r="I21" s="1"/>
  <c r="K21" s="1"/>
  <c r="J22"/>
  <c r="C22"/>
  <c r="D20"/>
  <c r="I20" s="1"/>
  <c r="K20" s="1"/>
  <c r="D19"/>
  <c r="I19" s="1"/>
  <c r="K19" s="1"/>
  <c r="D18"/>
  <c r="I18" s="1"/>
  <c r="K18" s="1"/>
  <c r="J15"/>
  <c r="I29" l="1"/>
  <c r="K29"/>
  <c r="I22"/>
  <c r="K22"/>
  <c r="D12" l="1"/>
  <c r="I12" s="1"/>
  <c r="K12" s="1"/>
  <c r="D13"/>
  <c r="I13" s="1"/>
  <c r="D14"/>
  <c r="I14" s="1"/>
  <c r="K14" s="1"/>
  <c r="D11"/>
  <c r="I11" s="1"/>
  <c r="K11" s="1"/>
  <c r="C15"/>
  <c r="I15" l="1"/>
  <c r="K13"/>
  <c r="K15" s="1"/>
  <c r="W3" i="20"/>
  <c r="W4" l="1"/>
  <c r="W5"/>
  <c r="W6"/>
  <c r="W7"/>
  <c r="W8"/>
  <c r="W9"/>
  <c r="W10"/>
  <c r="W11"/>
  <c r="W12"/>
  <c r="W13"/>
  <c r="W14"/>
  <c r="W15"/>
  <c r="W16"/>
  <c r="W17"/>
  <c r="W18"/>
  <c r="W19"/>
  <c r="W20"/>
  <c r="W21"/>
  <c r="W22"/>
  <c r="W23"/>
  <c r="W24"/>
  <c r="W25"/>
  <c r="W26"/>
  <c r="W27"/>
  <c r="W28"/>
  <c r="W29"/>
  <c r="W30"/>
  <c r="W31"/>
  <c r="W32"/>
  <c r="W33"/>
  <c r="W34"/>
  <c r="W35"/>
  <c r="W36"/>
  <c r="W37"/>
  <c r="W38"/>
  <c r="W39"/>
  <c r="W40"/>
  <c r="W41"/>
  <c r="W42"/>
  <c r="W43"/>
  <c r="W44"/>
  <c r="W45"/>
  <c r="W46"/>
  <c r="W47"/>
  <c r="W48"/>
  <c r="W49"/>
  <c r="W50"/>
  <c r="W51"/>
  <c r="W52"/>
  <c r="W53"/>
  <c r="W54"/>
  <c r="W55"/>
  <c r="W56"/>
  <c r="W57"/>
  <c r="W58"/>
  <c r="W59"/>
  <c r="W60"/>
  <c r="W61"/>
  <c r="W62"/>
  <c r="W63"/>
  <c r="W64"/>
  <c r="W65"/>
  <c r="W66"/>
  <c r="W67"/>
  <c r="W68"/>
  <c r="W69"/>
  <c r="W70"/>
  <c r="W71"/>
  <c r="W72"/>
  <c r="W73"/>
  <c r="W74"/>
  <c r="W75"/>
  <c r="W76"/>
  <c r="W77"/>
  <c r="W78"/>
  <c r="W79"/>
  <c r="W80"/>
  <c r="W81"/>
  <c r="W82"/>
  <c r="W83"/>
  <c r="W84"/>
  <c r="W85"/>
  <c r="W86"/>
  <c r="W87"/>
  <c r="W88"/>
  <c r="W89"/>
  <c r="W90"/>
  <c r="W91"/>
  <c r="W92"/>
  <c r="W93"/>
  <c r="W94"/>
  <c r="W95"/>
  <c r="W96"/>
  <c r="W97"/>
  <c r="W98"/>
  <c r="W99"/>
  <c r="W100"/>
  <c r="W101"/>
  <c r="W102"/>
  <c r="W103"/>
  <c r="W104"/>
  <c r="W105"/>
  <c r="W106"/>
  <c r="W107"/>
  <c r="W108"/>
  <c r="W109"/>
  <c r="W110"/>
  <c r="W111"/>
  <c r="W112"/>
  <c r="W113"/>
  <c r="W114"/>
  <c r="W115"/>
  <c r="W116"/>
  <c r="W117"/>
  <c r="W118"/>
  <c r="W119"/>
  <c r="W120"/>
  <c r="W121"/>
  <c r="W122"/>
  <c r="W123"/>
  <c r="W124"/>
  <c r="W125"/>
  <c r="W126"/>
  <c r="W127"/>
  <c r="W128"/>
  <c r="W129"/>
  <c r="W130"/>
  <c r="W131"/>
  <c r="W132"/>
  <c r="W133"/>
  <c r="L30" i="25"/>
  <c r="L29"/>
  <c r="J29"/>
  <c r="L28"/>
  <c r="J28"/>
  <c r="L27"/>
  <c r="J27"/>
  <c r="L26"/>
  <c r="J26"/>
  <c r="J30" s="1"/>
  <c r="K190" i="29"/>
  <c r="I190"/>
  <c r="H190"/>
  <c r="G190"/>
  <c r="F190"/>
  <c r="E190"/>
  <c r="B190"/>
  <c r="C190"/>
  <c r="O190"/>
  <c r="M190"/>
  <c r="J190"/>
  <c r="N189"/>
  <c r="P189" s="1"/>
  <c r="R189" s="1"/>
  <c r="L189"/>
  <c r="T189" s="1"/>
  <c r="N188"/>
  <c r="P188" s="1"/>
  <c r="R188" s="1"/>
  <c r="L188"/>
  <c r="T188" s="1"/>
  <c r="N187"/>
  <c r="P187" s="1"/>
  <c r="R187" s="1"/>
  <c r="L187"/>
  <c r="T187" s="1"/>
  <c r="N186"/>
  <c r="P186" s="1"/>
  <c r="R186" s="1"/>
  <c r="L186"/>
  <c r="T186" s="1"/>
  <c r="N185"/>
  <c r="P185" s="1"/>
  <c r="R185" s="1"/>
  <c r="L185"/>
  <c r="T185" s="1"/>
  <c r="N184"/>
  <c r="P184" s="1"/>
  <c r="R184" s="1"/>
  <c r="L184"/>
  <c r="T184" s="1"/>
  <c r="N183"/>
  <c r="P183" s="1"/>
  <c r="R183" s="1"/>
  <c r="L183"/>
  <c r="T183" s="1"/>
  <c r="N182"/>
  <c r="P182" s="1"/>
  <c r="R182" s="1"/>
  <c r="L182"/>
  <c r="T182" s="1"/>
  <c r="N181"/>
  <c r="P181" s="1"/>
  <c r="R181" s="1"/>
  <c r="L181"/>
  <c r="T181" s="1"/>
  <c r="N180"/>
  <c r="P180" s="1"/>
  <c r="R180" s="1"/>
  <c r="L180"/>
  <c r="T180" s="1"/>
  <c r="K202" i="28"/>
  <c r="I202"/>
  <c r="H202"/>
  <c r="G202"/>
  <c r="F202"/>
  <c r="E202"/>
  <c r="B202"/>
  <c r="C202"/>
  <c r="O202"/>
  <c r="M202"/>
  <c r="J202"/>
  <c r="N201"/>
  <c r="P201" s="1"/>
  <c r="R201" s="1"/>
  <c r="L201"/>
  <c r="Q201" s="1"/>
  <c r="S201" s="1"/>
  <c r="N200"/>
  <c r="P200" s="1"/>
  <c r="R200" s="1"/>
  <c r="L200"/>
  <c r="T200" s="1"/>
  <c r="N199"/>
  <c r="P199" s="1"/>
  <c r="R199" s="1"/>
  <c r="L199"/>
  <c r="T199" s="1"/>
  <c r="N198"/>
  <c r="P198" s="1"/>
  <c r="R198" s="1"/>
  <c r="L198"/>
  <c r="T198" s="1"/>
  <c r="N197"/>
  <c r="P197" s="1"/>
  <c r="R197" s="1"/>
  <c r="L197"/>
  <c r="Q197" s="1"/>
  <c r="S197" s="1"/>
  <c r="N196"/>
  <c r="P196" s="1"/>
  <c r="R196" s="1"/>
  <c r="L196"/>
  <c r="T196" s="1"/>
  <c r="N195"/>
  <c r="P195" s="1"/>
  <c r="R195" s="1"/>
  <c r="L195"/>
  <c r="Q195" s="1"/>
  <c r="S195" s="1"/>
  <c r="N194"/>
  <c r="P194" s="1"/>
  <c r="R194" s="1"/>
  <c r="L194"/>
  <c r="Q194" s="1"/>
  <c r="S194" s="1"/>
  <c r="N193"/>
  <c r="P193" s="1"/>
  <c r="R193" s="1"/>
  <c r="L193"/>
  <c r="T193" s="1"/>
  <c r="N192"/>
  <c r="P192" s="1"/>
  <c r="R192" s="1"/>
  <c r="L192"/>
  <c r="Q192" s="1"/>
  <c r="S192" s="1"/>
  <c r="N191"/>
  <c r="P191" s="1"/>
  <c r="R191" s="1"/>
  <c r="L191"/>
  <c r="T191" s="1"/>
  <c r="N190"/>
  <c r="P190" s="1"/>
  <c r="R190" s="1"/>
  <c r="L190"/>
  <c r="T190" s="1"/>
  <c r="N189"/>
  <c r="P189" s="1"/>
  <c r="R189" s="1"/>
  <c r="L189"/>
  <c r="Q189" s="1"/>
  <c r="S189" s="1"/>
  <c r="N188"/>
  <c r="P188" s="1"/>
  <c r="R188" s="1"/>
  <c r="L188"/>
  <c r="Q188" s="1"/>
  <c r="S188" s="1"/>
  <c r="N187"/>
  <c r="P187" s="1"/>
  <c r="R187" s="1"/>
  <c r="L187"/>
  <c r="T187" s="1"/>
  <c r="N186"/>
  <c r="P186" s="1"/>
  <c r="R186" s="1"/>
  <c r="L186"/>
  <c r="Q186" s="1"/>
  <c r="S186" s="1"/>
  <c r="N185"/>
  <c r="P185" s="1"/>
  <c r="R185" s="1"/>
  <c r="L185"/>
  <c r="Q185" s="1"/>
  <c r="S185" s="1"/>
  <c r="K177" i="27"/>
  <c r="I177"/>
  <c r="H177"/>
  <c r="G177"/>
  <c r="F177"/>
  <c r="E177"/>
  <c r="B177"/>
  <c r="C177"/>
  <c r="O177"/>
  <c r="M177"/>
  <c r="J177"/>
  <c r="N176"/>
  <c r="P176" s="1"/>
  <c r="R176" s="1"/>
  <c r="L176"/>
  <c r="Q176" s="1"/>
  <c r="S176" s="1"/>
  <c r="N175"/>
  <c r="P175" s="1"/>
  <c r="R175" s="1"/>
  <c r="L175"/>
  <c r="Q175" s="1"/>
  <c r="S175" s="1"/>
  <c r="N174"/>
  <c r="P174" s="1"/>
  <c r="R174" s="1"/>
  <c r="L174"/>
  <c r="T174" s="1"/>
  <c r="N173"/>
  <c r="P173" s="1"/>
  <c r="R173" s="1"/>
  <c r="L173"/>
  <c r="T173" s="1"/>
  <c r="N172"/>
  <c r="P172" s="1"/>
  <c r="R172" s="1"/>
  <c r="L172"/>
  <c r="T172" s="1"/>
  <c r="N171"/>
  <c r="P171" s="1"/>
  <c r="R171" s="1"/>
  <c r="L171"/>
  <c r="T171" s="1"/>
  <c r="N170"/>
  <c r="P170" s="1"/>
  <c r="R170" s="1"/>
  <c r="L170"/>
  <c r="T170" s="1"/>
  <c r="N169"/>
  <c r="P169" s="1"/>
  <c r="R169" s="1"/>
  <c r="L169"/>
  <c r="T169" s="1"/>
  <c r="N168"/>
  <c r="P168" s="1"/>
  <c r="R168" s="1"/>
  <c r="L168"/>
  <c r="T168" s="1"/>
  <c r="N167"/>
  <c r="P167" s="1"/>
  <c r="R167" s="1"/>
  <c r="L167"/>
  <c r="T167" s="1"/>
  <c r="N166"/>
  <c r="P166" s="1"/>
  <c r="R166" s="1"/>
  <c r="L166"/>
  <c r="T166" s="1"/>
  <c r="L20" i="25"/>
  <c r="L21"/>
  <c r="L22"/>
  <c r="L19"/>
  <c r="L23" s="1"/>
  <c r="M23" s="1"/>
  <c r="J20"/>
  <c r="J21"/>
  <c r="J22"/>
  <c r="J19"/>
  <c r="J23" s="1"/>
  <c r="K23" s="1"/>
  <c r="H20"/>
  <c r="G23"/>
  <c r="G30"/>
  <c r="F30"/>
  <c r="D30"/>
  <c r="D29"/>
  <c r="H29" s="1"/>
  <c r="D28"/>
  <c r="H28" s="1"/>
  <c r="D27"/>
  <c r="H27" s="1"/>
  <c r="D26"/>
  <c r="H26" s="1"/>
  <c r="F23"/>
  <c r="D23"/>
  <c r="D22"/>
  <c r="H22" s="1"/>
  <c r="D21"/>
  <c r="H21" s="1"/>
  <c r="D20"/>
  <c r="D19"/>
  <c r="H19" s="1"/>
  <c r="H30" l="1"/>
  <c r="K30"/>
  <c r="M30"/>
  <c r="Q180" i="29"/>
  <c r="S180" s="1"/>
  <c r="Q182"/>
  <c r="S182" s="1"/>
  <c r="Q184"/>
  <c r="S184" s="1"/>
  <c r="Q185"/>
  <c r="S185" s="1"/>
  <c r="Q187"/>
  <c r="S187" s="1"/>
  <c r="Q189"/>
  <c r="S189" s="1"/>
  <c r="N190"/>
  <c r="P190" s="1"/>
  <c r="R190" s="1"/>
  <c r="N202" i="28"/>
  <c r="P202" s="1"/>
  <c r="R202" s="1"/>
  <c r="Q190"/>
  <c r="S190" s="1"/>
  <c r="Q191"/>
  <c r="S191" s="1"/>
  <c r="Q193"/>
  <c r="S193" s="1"/>
  <c r="Q196"/>
  <c r="S196" s="1"/>
  <c r="Q198"/>
  <c r="S198" s="1"/>
  <c r="Q199"/>
  <c r="S199" s="1"/>
  <c r="Q200"/>
  <c r="S200" s="1"/>
  <c r="D202"/>
  <c r="Q187"/>
  <c r="S187" s="1"/>
  <c r="N177" i="27"/>
  <c r="P177" s="1"/>
  <c r="R177" s="1"/>
  <c r="Q168"/>
  <c r="S168" s="1"/>
  <c r="Q169"/>
  <c r="S169" s="1"/>
  <c r="Q171"/>
  <c r="S171" s="1"/>
  <c r="Q173"/>
  <c r="S173" s="1"/>
  <c r="Q174"/>
  <c r="S174" s="1"/>
  <c r="Q172"/>
  <c r="S172" s="1"/>
  <c r="Q181" i="29"/>
  <c r="S181" s="1"/>
  <c r="Q183"/>
  <c r="S183" s="1"/>
  <c r="Q186"/>
  <c r="S186" s="1"/>
  <c r="Q188"/>
  <c r="S188" s="1"/>
  <c r="D190"/>
  <c r="T185" i="28"/>
  <c r="T186"/>
  <c r="T188"/>
  <c r="T194"/>
  <c r="T197"/>
  <c r="T201"/>
  <c r="T189"/>
  <c r="T192"/>
  <c r="T195"/>
  <c r="Q166" i="27"/>
  <c r="S166" s="1"/>
  <c r="Q167"/>
  <c r="S167" s="1"/>
  <c r="Q170"/>
  <c r="S170" s="1"/>
  <c r="T175"/>
  <c r="T176"/>
  <c r="D177"/>
  <c r="H23" i="25"/>
  <c r="K175" i="29"/>
  <c r="I175"/>
  <c r="H175"/>
  <c r="G175"/>
  <c r="F175"/>
  <c r="E175"/>
  <c r="B175"/>
  <c r="D175"/>
  <c r="C175"/>
  <c r="O175"/>
  <c r="M175"/>
  <c r="J175"/>
  <c r="N174"/>
  <c r="P174" s="1"/>
  <c r="R174" s="1"/>
  <c r="L174"/>
  <c r="T174" s="1"/>
  <c r="N173"/>
  <c r="P173" s="1"/>
  <c r="R173" s="1"/>
  <c r="L173"/>
  <c r="T173" s="1"/>
  <c r="N172"/>
  <c r="P172" s="1"/>
  <c r="R172" s="1"/>
  <c r="L172"/>
  <c r="T172" s="1"/>
  <c r="N171"/>
  <c r="P171" s="1"/>
  <c r="R171" s="1"/>
  <c r="L171"/>
  <c r="T171" s="1"/>
  <c r="N170"/>
  <c r="P170" s="1"/>
  <c r="R170" s="1"/>
  <c r="L170"/>
  <c r="T170" s="1"/>
  <c r="N169"/>
  <c r="P169" s="1"/>
  <c r="R169" s="1"/>
  <c r="L169"/>
  <c r="T169" s="1"/>
  <c r="N168"/>
  <c r="P168" s="1"/>
  <c r="R168" s="1"/>
  <c r="L168"/>
  <c r="T168" s="1"/>
  <c r="N167"/>
  <c r="P167" s="1"/>
  <c r="R167" s="1"/>
  <c r="L167"/>
  <c r="T167" s="1"/>
  <c r="N166"/>
  <c r="P166" s="1"/>
  <c r="R166" s="1"/>
  <c r="L166"/>
  <c r="T166" s="1"/>
  <c r="N165"/>
  <c r="P165" s="1"/>
  <c r="R165" s="1"/>
  <c r="L165"/>
  <c r="T165" s="1"/>
  <c r="T175" s="1"/>
  <c r="K180" i="28"/>
  <c r="I180"/>
  <c r="H180"/>
  <c r="G180"/>
  <c r="F180"/>
  <c r="E180"/>
  <c r="B180"/>
  <c r="D180"/>
  <c r="C180"/>
  <c r="O180"/>
  <c r="M180"/>
  <c r="J180"/>
  <c r="N179"/>
  <c r="P179" s="1"/>
  <c r="R179" s="1"/>
  <c r="L179"/>
  <c r="Q179" s="1"/>
  <c r="S179" s="1"/>
  <c r="N178"/>
  <c r="P178" s="1"/>
  <c r="R178" s="1"/>
  <c r="L178"/>
  <c r="T178" s="1"/>
  <c r="N177"/>
  <c r="P177" s="1"/>
  <c r="R177" s="1"/>
  <c r="L177"/>
  <c r="T177" s="1"/>
  <c r="N176"/>
  <c r="P176" s="1"/>
  <c r="R176" s="1"/>
  <c r="L176"/>
  <c r="T176" s="1"/>
  <c r="N175"/>
  <c r="P175" s="1"/>
  <c r="R175" s="1"/>
  <c r="L175"/>
  <c r="Q175" s="1"/>
  <c r="S175" s="1"/>
  <c r="N174"/>
  <c r="P174" s="1"/>
  <c r="R174" s="1"/>
  <c r="L174"/>
  <c r="T174" s="1"/>
  <c r="N173"/>
  <c r="P173" s="1"/>
  <c r="R173" s="1"/>
  <c r="L173"/>
  <c r="Q173" s="1"/>
  <c r="S173" s="1"/>
  <c r="N172"/>
  <c r="P172" s="1"/>
  <c r="R172" s="1"/>
  <c r="L172"/>
  <c r="Q172" s="1"/>
  <c r="S172" s="1"/>
  <c r="N171"/>
  <c r="P171" s="1"/>
  <c r="R171" s="1"/>
  <c r="L171"/>
  <c r="T171" s="1"/>
  <c r="N170"/>
  <c r="P170" s="1"/>
  <c r="R170" s="1"/>
  <c r="L170"/>
  <c r="Q170" s="1"/>
  <c r="S170" s="1"/>
  <c r="N169"/>
  <c r="P169" s="1"/>
  <c r="R169" s="1"/>
  <c r="L169"/>
  <c r="T169" s="1"/>
  <c r="N168"/>
  <c r="P168" s="1"/>
  <c r="R168" s="1"/>
  <c r="L168"/>
  <c r="T168" s="1"/>
  <c r="N167"/>
  <c r="P167" s="1"/>
  <c r="R167" s="1"/>
  <c r="L167"/>
  <c r="Q167" s="1"/>
  <c r="S167" s="1"/>
  <c r="N166"/>
  <c r="P166" s="1"/>
  <c r="R166" s="1"/>
  <c r="L166"/>
  <c r="Q166" s="1"/>
  <c r="S166" s="1"/>
  <c r="N165"/>
  <c r="P165" s="1"/>
  <c r="R165" s="1"/>
  <c r="L165"/>
  <c r="T165" s="1"/>
  <c r="N164"/>
  <c r="P164" s="1"/>
  <c r="R164" s="1"/>
  <c r="L164"/>
  <c r="Q164" s="1"/>
  <c r="S164" s="1"/>
  <c r="N163"/>
  <c r="P163" s="1"/>
  <c r="R163" s="1"/>
  <c r="L163"/>
  <c r="Q163" s="1"/>
  <c r="S163" s="1"/>
  <c r="K160" i="27"/>
  <c r="I160"/>
  <c r="H160"/>
  <c r="G160"/>
  <c r="F160"/>
  <c r="E160"/>
  <c r="B160"/>
  <c r="D160"/>
  <c r="C160"/>
  <c r="O160"/>
  <c r="M160"/>
  <c r="J160"/>
  <c r="N159"/>
  <c r="P159" s="1"/>
  <c r="R159" s="1"/>
  <c r="L159"/>
  <c r="T159" s="1"/>
  <c r="N158"/>
  <c r="P158" s="1"/>
  <c r="R158" s="1"/>
  <c r="L158"/>
  <c r="T158" s="1"/>
  <c r="N157"/>
  <c r="P157" s="1"/>
  <c r="R157" s="1"/>
  <c r="L157"/>
  <c r="Q157" s="1"/>
  <c r="S157" s="1"/>
  <c r="N156"/>
  <c r="P156" s="1"/>
  <c r="R156" s="1"/>
  <c r="L156"/>
  <c r="Q156" s="1"/>
  <c r="S156" s="1"/>
  <c r="N155"/>
  <c r="P155" s="1"/>
  <c r="R155" s="1"/>
  <c r="L155"/>
  <c r="Q155" s="1"/>
  <c r="S155" s="1"/>
  <c r="N154"/>
  <c r="P154" s="1"/>
  <c r="R154" s="1"/>
  <c r="L154"/>
  <c r="Q154" s="1"/>
  <c r="S154" s="1"/>
  <c r="N153"/>
  <c r="P153" s="1"/>
  <c r="R153" s="1"/>
  <c r="L153"/>
  <c r="T153" s="1"/>
  <c r="N152"/>
  <c r="P152" s="1"/>
  <c r="R152" s="1"/>
  <c r="L152"/>
  <c r="Q152" s="1"/>
  <c r="S152" s="1"/>
  <c r="N151"/>
  <c r="P151" s="1"/>
  <c r="R151" s="1"/>
  <c r="L151"/>
  <c r="Q151" s="1"/>
  <c r="S151" s="1"/>
  <c r="N150"/>
  <c r="P150" s="1"/>
  <c r="R150" s="1"/>
  <c r="L150"/>
  <c r="T150" s="1"/>
  <c r="N149"/>
  <c r="P149" s="1"/>
  <c r="R149" s="1"/>
  <c r="L149"/>
  <c r="T149" s="1"/>
  <c r="D16" i="25"/>
  <c r="H16" s="1"/>
  <c r="G16"/>
  <c r="F16"/>
  <c r="D13"/>
  <c r="H13" s="1"/>
  <c r="D14"/>
  <c r="H14" s="1"/>
  <c r="D15"/>
  <c r="H15" s="1"/>
  <c r="C158" i="28"/>
  <c r="D158"/>
  <c r="E158"/>
  <c r="G158"/>
  <c r="H158"/>
  <c r="I158"/>
  <c r="J158"/>
  <c r="M158"/>
  <c r="O158"/>
  <c r="B158"/>
  <c r="O149"/>
  <c r="M149"/>
  <c r="J149"/>
  <c r="I149"/>
  <c r="H149"/>
  <c r="G149"/>
  <c r="D149"/>
  <c r="C149"/>
  <c r="B149"/>
  <c r="S148"/>
  <c r="N148"/>
  <c r="P148" s="1"/>
  <c r="R148" s="1"/>
  <c r="L148"/>
  <c r="T148" s="1"/>
  <c r="N147"/>
  <c r="P147" s="1"/>
  <c r="R147" s="1"/>
  <c r="K147"/>
  <c r="L147" s="1"/>
  <c r="N146"/>
  <c r="P146" s="1"/>
  <c r="R146" s="1"/>
  <c r="K146"/>
  <c r="L146" s="1"/>
  <c r="N145"/>
  <c r="P145" s="1"/>
  <c r="R145" s="1"/>
  <c r="L145"/>
  <c r="T145" s="1"/>
  <c r="K144"/>
  <c r="F144"/>
  <c r="K143"/>
  <c r="F143"/>
  <c r="N143" s="1"/>
  <c r="P143" s="1"/>
  <c r="R143" s="1"/>
  <c r="N142"/>
  <c r="P142" s="1"/>
  <c r="R142" s="1"/>
  <c r="K142"/>
  <c r="L142" s="1"/>
  <c r="T142" s="1"/>
  <c r="N141"/>
  <c r="P141" s="1"/>
  <c r="R141" s="1"/>
  <c r="K141"/>
  <c r="L141" s="1"/>
  <c r="T141" s="1"/>
  <c r="K140"/>
  <c r="F140"/>
  <c r="N139"/>
  <c r="P139" s="1"/>
  <c r="R139" s="1"/>
  <c r="K139"/>
  <c r="L139" s="1"/>
  <c r="N138"/>
  <c r="P138" s="1"/>
  <c r="R138" s="1"/>
  <c r="K138"/>
  <c r="L138" s="1"/>
  <c r="N137"/>
  <c r="P137" s="1"/>
  <c r="R137" s="1"/>
  <c r="K137"/>
  <c r="L137" s="1"/>
  <c r="N136"/>
  <c r="P136" s="1"/>
  <c r="R136" s="1"/>
  <c r="K136"/>
  <c r="L136" s="1"/>
  <c r="K135"/>
  <c r="F135"/>
  <c r="N135" s="1"/>
  <c r="P135" s="1"/>
  <c r="R135" s="1"/>
  <c r="K134"/>
  <c r="F134"/>
  <c r="N133"/>
  <c r="P133" s="1"/>
  <c r="R133" s="1"/>
  <c r="K133"/>
  <c r="L133" s="1"/>
  <c r="K132"/>
  <c r="F132"/>
  <c r="N132" s="1"/>
  <c r="P132" s="1"/>
  <c r="R132" s="1"/>
  <c r="K131"/>
  <c r="F131"/>
  <c r="K130"/>
  <c r="F130"/>
  <c r="N130" s="1"/>
  <c r="P130" s="1"/>
  <c r="R130" s="1"/>
  <c r="N129"/>
  <c r="P129" s="1"/>
  <c r="R129" s="1"/>
  <c r="K129"/>
  <c r="L129" s="1"/>
  <c r="T129" s="1"/>
  <c r="K128"/>
  <c r="F128"/>
  <c r="K127"/>
  <c r="F127"/>
  <c r="N127" s="1"/>
  <c r="P127" s="1"/>
  <c r="R127" s="1"/>
  <c r="K126"/>
  <c r="F126"/>
  <c r="N125"/>
  <c r="P125" s="1"/>
  <c r="R125" s="1"/>
  <c r="K125"/>
  <c r="L125" s="1"/>
  <c r="N124"/>
  <c r="P124" s="1"/>
  <c r="R124" s="1"/>
  <c r="K124"/>
  <c r="L124" s="1"/>
  <c r="N123"/>
  <c r="P123" s="1"/>
  <c r="R123" s="1"/>
  <c r="K123"/>
  <c r="L123" s="1"/>
  <c r="N122"/>
  <c r="P122" s="1"/>
  <c r="R122" s="1"/>
  <c r="K122"/>
  <c r="L122" s="1"/>
  <c r="K121"/>
  <c r="F121"/>
  <c r="N121" s="1"/>
  <c r="P121" s="1"/>
  <c r="R121" s="1"/>
  <c r="N120"/>
  <c r="P120" s="1"/>
  <c r="R120" s="1"/>
  <c r="K120"/>
  <c r="L120" s="1"/>
  <c r="T120" s="1"/>
  <c r="K119"/>
  <c r="F119"/>
  <c r="N118"/>
  <c r="P118" s="1"/>
  <c r="R118" s="1"/>
  <c r="K118"/>
  <c r="L118" s="1"/>
  <c r="K117"/>
  <c r="F117"/>
  <c r="N117" s="1"/>
  <c r="P117" s="1"/>
  <c r="R117" s="1"/>
  <c r="K116"/>
  <c r="F116"/>
  <c r="N115"/>
  <c r="P115" s="1"/>
  <c r="R115" s="1"/>
  <c r="K115"/>
  <c r="L115" s="1"/>
  <c r="N114"/>
  <c r="P114" s="1"/>
  <c r="R114" s="1"/>
  <c r="K114"/>
  <c r="L114" s="1"/>
  <c r="N113"/>
  <c r="P113" s="1"/>
  <c r="R113" s="1"/>
  <c r="K113"/>
  <c r="L113" s="1"/>
  <c r="K112"/>
  <c r="F112"/>
  <c r="N112" s="1"/>
  <c r="P112" s="1"/>
  <c r="R112" s="1"/>
  <c r="K111"/>
  <c r="F111"/>
  <c r="N110"/>
  <c r="P110" s="1"/>
  <c r="R110" s="1"/>
  <c r="K110"/>
  <c r="L110" s="1"/>
  <c r="K109"/>
  <c r="F109"/>
  <c r="N109" s="1"/>
  <c r="P109" s="1"/>
  <c r="R109" s="1"/>
  <c r="K108"/>
  <c r="F108"/>
  <c r="K107"/>
  <c r="F107"/>
  <c r="N107" s="1"/>
  <c r="P107" s="1"/>
  <c r="R107" s="1"/>
  <c r="K106"/>
  <c r="F106"/>
  <c r="K105"/>
  <c r="F105"/>
  <c r="N105" s="1"/>
  <c r="P105" s="1"/>
  <c r="R105" s="1"/>
  <c r="N104"/>
  <c r="P104" s="1"/>
  <c r="R104" s="1"/>
  <c r="K104"/>
  <c r="L104" s="1"/>
  <c r="T104" s="1"/>
  <c r="N103"/>
  <c r="P103" s="1"/>
  <c r="R103" s="1"/>
  <c r="K103"/>
  <c r="L103" s="1"/>
  <c r="T103" s="1"/>
  <c r="N102"/>
  <c r="P102" s="1"/>
  <c r="R102" s="1"/>
  <c r="K102"/>
  <c r="L102" s="1"/>
  <c r="T102" s="1"/>
  <c r="N101"/>
  <c r="P101" s="1"/>
  <c r="R101" s="1"/>
  <c r="K101"/>
  <c r="L101" s="1"/>
  <c r="T101" s="1"/>
  <c r="N100"/>
  <c r="P100" s="1"/>
  <c r="R100" s="1"/>
  <c r="K100"/>
  <c r="L100" s="1"/>
  <c r="T100" s="1"/>
  <c r="N99"/>
  <c r="P99" s="1"/>
  <c r="R99" s="1"/>
  <c r="K99"/>
  <c r="L99" s="1"/>
  <c r="T99" s="1"/>
  <c r="N98"/>
  <c r="P98" s="1"/>
  <c r="R98" s="1"/>
  <c r="K98"/>
  <c r="L98" s="1"/>
  <c r="T98" s="1"/>
  <c r="N97"/>
  <c r="P97" s="1"/>
  <c r="R97" s="1"/>
  <c r="K97"/>
  <c r="L97" s="1"/>
  <c r="T97" s="1"/>
  <c r="K96"/>
  <c r="F96"/>
  <c r="N95"/>
  <c r="P95" s="1"/>
  <c r="R95" s="1"/>
  <c r="K95"/>
  <c r="L95" s="1"/>
  <c r="N94"/>
  <c r="P94" s="1"/>
  <c r="R94" s="1"/>
  <c r="K94"/>
  <c r="L94" s="1"/>
  <c r="N93"/>
  <c r="P93" s="1"/>
  <c r="R93" s="1"/>
  <c r="K93"/>
  <c r="L93" s="1"/>
  <c r="N92"/>
  <c r="P92" s="1"/>
  <c r="R92" s="1"/>
  <c r="K92"/>
  <c r="L92" s="1"/>
  <c r="N91"/>
  <c r="P91" s="1"/>
  <c r="R91" s="1"/>
  <c r="K91"/>
  <c r="L91" s="1"/>
  <c r="N90"/>
  <c r="P90" s="1"/>
  <c r="R90" s="1"/>
  <c r="K90"/>
  <c r="L90" s="1"/>
  <c r="T90" s="1"/>
  <c r="N89"/>
  <c r="P89" s="1"/>
  <c r="R89" s="1"/>
  <c r="K89"/>
  <c r="L89" s="1"/>
  <c r="T89" s="1"/>
  <c r="N88"/>
  <c r="P88" s="1"/>
  <c r="R88" s="1"/>
  <c r="K88"/>
  <c r="L88" s="1"/>
  <c r="T88" s="1"/>
  <c r="N87"/>
  <c r="P87" s="1"/>
  <c r="R87" s="1"/>
  <c r="K87"/>
  <c r="L87" s="1"/>
  <c r="T87" s="1"/>
  <c r="N86"/>
  <c r="P86" s="1"/>
  <c r="R86" s="1"/>
  <c r="K86"/>
  <c r="L86" s="1"/>
  <c r="T86" s="1"/>
  <c r="N85"/>
  <c r="P85" s="1"/>
  <c r="R85" s="1"/>
  <c r="K85"/>
  <c r="L85" s="1"/>
  <c r="T85" s="1"/>
  <c r="N84"/>
  <c r="P84" s="1"/>
  <c r="R84" s="1"/>
  <c r="K84"/>
  <c r="L84" s="1"/>
  <c r="T84" s="1"/>
  <c r="N83"/>
  <c r="P83" s="1"/>
  <c r="R83" s="1"/>
  <c r="K83"/>
  <c r="L83" s="1"/>
  <c r="T83" s="1"/>
  <c r="N82"/>
  <c r="P82" s="1"/>
  <c r="R82" s="1"/>
  <c r="K82"/>
  <c r="L82" s="1"/>
  <c r="T82" s="1"/>
  <c r="N81"/>
  <c r="P81" s="1"/>
  <c r="R81" s="1"/>
  <c r="K81"/>
  <c r="L81" s="1"/>
  <c r="T81" s="1"/>
  <c r="N80"/>
  <c r="P80" s="1"/>
  <c r="R80" s="1"/>
  <c r="K80"/>
  <c r="L80" s="1"/>
  <c r="T80" s="1"/>
  <c r="N79"/>
  <c r="P79" s="1"/>
  <c r="R79" s="1"/>
  <c r="K79"/>
  <c r="L79" s="1"/>
  <c r="T79" s="1"/>
  <c r="N78"/>
  <c r="P78" s="1"/>
  <c r="R78" s="1"/>
  <c r="K78"/>
  <c r="L78" s="1"/>
  <c r="T78" s="1"/>
  <c r="N77"/>
  <c r="P77" s="1"/>
  <c r="R77" s="1"/>
  <c r="K77"/>
  <c r="L77" s="1"/>
  <c r="T77" s="1"/>
  <c r="N76"/>
  <c r="P76" s="1"/>
  <c r="R76" s="1"/>
  <c r="K76"/>
  <c r="L76" s="1"/>
  <c r="T76" s="1"/>
  <c r="N75"/>
  <c r="P75" s="1"/>
  <c r="R75" s="1"/>
  <c r="K75"/>
  <c r="L75" s="1"/>
  <c r="T75" s="1"/>
  <c r="N74"/>
  <c r="P74" s="1"/>
  <c r="R74" s="1"/>
  <c r="K74"/>
  <c r="L74" s="1"/>
  <c r="T74" s="1"/>
  <c r="K73"/>
  <c r="F73"/>
  <c r="E73"/>
  <c r="E149" s="1"/>
  <c r="N72"/>
  <c r="P72" s="1"/>
  <c r="R72" s="1"/>
  <c r="K72"/>
  <c r="L72" s="1"/>
  <c r="T72" s="1"/>
  <c r="N71"/>
  <c r="P71" s="1"/>
  <c r="R71" s="1"/>
  <c r="K71"/>
  <c r="L71" s="1"/>
  <c r="T71" s="1"/>
  <c r="N70"/>
  <c r="P70" s="1"/>
  <c r="R70" s="1"/>
  <c r="K70"/>
  <c r="L70" s="1"/>
  <c r="T70" s="1"/>
  <c r="N69"/>
  <c r="P69" s="1"/>
  <c r="R69" s="1"/>
  <c r="K69"/>
  <c r="L69" s="1"/>
  <c r="T69" s="1"/>
  <c r="N68"/>
  <c r="P68" s="1"/>
  <c r="R68" s="1"/>
  <c r="K68"/>
  <c r="L68" s="1"/>
  <c r="T68" s="1"/>
  <c r="N67"/>
  <c r="P67" s="1"/>
  <c r="R67" s="1"/>
  <c r="K67"/>
  <c r="L67" s="1"/>
  <c r="T67" s="1"/>
  <c r="N66"/>
  <c r="P66" s="1"/>
  <c r="R66" s="1"/>
  <c r="K66"/>
  <c r="L66" s="1"/>
  <c r="T66" s="1"/>
  <c r="N65"/>
  <c r="P65" s="1"/>
  <c r="R65" s="1"/>
  <c r="K65"/>
  <c r="L65" s="1"/>
  <c r="T65" s="1"/>
  <c r="N64"/>
  <c r="P64" s="1"/>
  <c r="R64" s="1"/>
  <c r="K64"/>
  <c r="L64" s="1"/>
  <c r="T64" s="1"/>
  <c r="N63"/>
  <c r="P63" s="1"/>
  <c r="R63" s="1"/>
  <c r="K63"/>
  <c r="L63" s="1"/>
  <c r="T63" s="1"/>
  <c r="N62"/>
  <c r="P62" s="1"/>
  <c r="R62" s="1"/>
  <c r="K62"/>
  <c r="L62" s="1"/>
  <c r="T62" s="1"/>
  <c r="N61"/>
  <c r="P61" s="1"/>
  <c r="R61" s="1"/>
  <c r="K61"/>
  <c r="L61" s="1"/>
  <c r="T61" s="1"/>
  <c r="N60"/>
  <c r="P60" s="1"/>
  <c r="R60" s="1"/>
  <c r="K60"/>
  <c r="L60" s="1"/>
  <c r="T60" s="1"/>
  <c r="N59"/>
  <c r="P59" s="1"/>
  <c r="R59" s="1"/>
  <c r="K59"/>
  <c r="L59" s="1"/>
  <c r="T59" s="1"/>
  <c r="K58"/>
  <c r="F58"/>
  <c r="K57"/>
  <c r="F57"/>
  <c r="N57" s="1"/>
  <c r="P57" s="1"/>
  <c r="R57" s="1"/>
  <c r="K56"/>
  <c r="F56"/>
  <c r="N55"/>
  <c r="P55" s="1"/>
  <c r="R55" s="1"/>
  <c r="K55"/>
  <c r="L55" s="1"/>
  <c r="K54"/>
  <c r="F54"/>
  <c r="N54" s="1"/>
  <c r="P54" s="1"/>
  <c r="R54" s="1"/>
  <c r="K53"/>
  <c r="F53"/>
  <c r="N52"/>
  <c r="P52" s="1"/>
  <c r="R52" s="1"/>
  <c r="K52"/>
  <c r="L52" s="1"/>
  <c r="N50"/>
  <c r="P50" s="1"/>
  <c r="R50" s="1"/>
  <c r="K50"/>
  <c r="L50" s="1"/>
  <c r="K49"/>
  <c r="F49"/>
  <c r="N49" s="1"/>
  <c r="P49" s="1"/>
  <c r="R49" s="1"/>
  <c r="K48"/>
  <c r="F48"/>
  <c r="K47"/>
  <c r="F47"/>
  <c r="N47" s="1"/>
  <c r="P47" s="1"/>
  <c r="R47" s="1"/>
  <c r="K46"/>
  <c r="F46"/>
  <c r="K45"/>
  <c r="F45"/>
  <c r="N45" s="1"/>
  <c r="P45" s="1"/>
  <c r="R45" s="1"/>
  <c r="K44"/>
  <c r="F44"/>
  <c r="N43"/>
  <c r="P43" s="1"/>
  <c r="R43" s="1"/>
  <c r="K43"/>
  <c r="L43" s="1"/>
  <c r="N42"/>
  <c r="P42" s="1"/>
  <c r="R42" s="1"/>
  <c r="K42"/>
  <c r="L42" s="1"/>
  <c r="N41"/>
  <c r="P41" s="1"/>
  <c r="R41" s="1"/>
  <c r="K41"/>
  <c r="L41" s="1"/>
  <c r="N40"/>
  <c r="P40" s="1"/>
  <c r="R40" s="1"/>
  <c r="K40"/>
  <c r="L40" s="1"/>
  <c r="N39"/>
  <c r="P39" s="1"/>
  <c r="R39" s="1"/>
  <c r="K39"/>
  <c r="L39" s="1"/>
  <c r="N38"/>
  <c r="P38" s="1"/>
  <c r="R38" s="1"/>
  <c r="K38"/>
  <c r="L38" s="1"/>
  <c r="N37"/>
  <c r="P37" s="1"/>
  <c r="R37" s="1"/>
  <c r="K37"/>
  <c r="L37" s="1"/>
  <c r="N36"/>
  <c r="P36" s="1"/>
  <c r="R36" s="1"/>
  <c r="K36"/>
  <c r="L36" s="1"/>
  <c r="N35"/>
  <c r="P35" s="1"/>
  <c r="R35" s="1"/>
  <c r="K35"/>
  <c r="L35" s="1"/>
  <c r="N34"/>
  <c r="P34" s="1"/>
  <c r="R34" s="1"/>
  <c r="K34"/>
  <c r="L34" s="1"/>
  <c r="N33"/>
  <c r="P33" s="1"/>
  <c r="R33" s="1"/>
  <c r="K33"/>
  <c r="L33" s="1"/>
  <c r="N32"/>
  <c r="P32" s="1"/>
  <c r="R32" s="1"/>
  <c r="K32"/>
  <c r="L32" s="1"/>
  <c r="N31"/>
  <c r="P31" s="1"/>
  <c r="R31" s="1"/>
  <c r="K31"/>
  <c r="L31" s="1"/>
  <c r="K30"/>
  <c r="F30"/>
  <c r="N30" s="1"/>
  <c r="P30" s="1"/>
  <c r="R30" s="1"/>
  <c r="N29"/>
  <c r="P29" s="1"/>
  <c r="R29" s="1"/>
  <c r="K29"/>
  <c r="L29" s="1"/>
  <c r="T29" s="1"/>
  <c r="N28"/>
  <c r="P28" s="1"/>
  <c r="R28" s="1"/>
  <c r="K28"/>
  <c r="L28" s="1"/>
  <c r="T28" s="1"/>
  <c r="N27"/>
  <c r="P27" s="1"/>
  <c r="R27" s="1"/>
  <c r="K27"/>
  <c r="L27" s="1"/>
  <c r="T27" s="1"/>
  <c r="N26"/>
  <c r="P26" s="1"/>
  <c r="R26" s="1"/>
  <c r="K26"/>
  <c r="L26" s="1"/>
  <c r="T26" s="1"/>
  <c r="N25"/>
  <c r="P25" s="1"/>
  <c r="R25" s="1"/>
  <c r="K25"/>
  <c r="L25" s="1"/>
  <c r="T25" s="1"/>
  <c r="N24"/>
  <c r="P24" s="1"/>
  <c r="R24" s="1"/>
  <c r="K24"/>
  <c r="L24" s="1"/>
  <c r="T24" s="1"/>
  <c r="N23"/>
  <c r="P23" s="1"/>
  <c r="R23" s="1"/>
  <c r="K23"/>
  <c r="L23" s="1"/>
  <c r="T23" s="1"/>
  <c r="N22"/>
  <c r="P22" s="1"/>
  <c r="R22" s="1"/>
  <c r="K22"/>
  <c r="L22" s="1"/>
  <c r="T22" s="1"/>
  <c r="N21"/>
  <c r="P21" s="1"/>
  <c r="R21" s="1"/>
  <c r="K21"/>
  <c r="L21" s="1"/>
  <c r="T21" s="1"/>
  <c r="N20"/>
  <c r="P20" s="1"/>
  <c r="R20" s="1"/>
  <c r="K20"/>
  <c r="L20" s="1"/>
  <c r="T20" s="1"/>
  <c r="N19"/>
  <c r="P19" s="1"/>
  <c r="R19" s="1"/>
  <c r="K19"/>
  <c r="L19" s="1"/>
  <c r="T19" s="1"/>
  <c r="N18"/>
  <c r="P18" s="1"/>
  <c r="R18" s="1"/>
  <c r="K18"/>
  <c r="L18" s="1"/>
  <c r="T18" s="1"/>
  <c r="N17"/>
  <c r="P17" s="1"/>
  <c r="R17" s="1"/>
  <c r="K17"/>
  <c r="L17" s="1"/>
  <c r="Q17" s="1"/>
  <c r="S17" s="1"/>
  <c r="M15"/>
  <c r="K15"/>
  <c r="J15"/>
  <c r="I15"/>
  <c r="H15"/>
  <c r="G15"/>
  <c r="F15"/>
  <c r="E15"/>
  <c r="D15"/>
  <c r="C15"/>
  <c r="B15"/>
  <c r="S14"/>
  <c r="T14" s="1"/>
  <c r="Q14"/>
  <c r="O14"/>
  <c r="L14"/>
  <c r="S13"/>
  <c r="T13" s="1"/>
  <c r="Q13"/>
  <c r="O13"/>
  <c r="L13"/>
  <c r="S12"/>
  <c r="T12" s="1"/>
  <c r="Q12"/>
  <c r="O12"/>
  <c r="L12"/>
  <c r="S11"/>
  <c r="T11" s="1"/>
  <c r="Q11"/>
  <c r="O11"/>
  <c r="L11"/>
  <c r="S10"/>
  <c r="T10" s="1"/>
  <c r="Q10"/>
  <c r="O10"/>
  <c r="L10"/>
  <c r="S9"/>
  <c r="T9" s="1"/>
  <c r="Q9"/>
  <c r="O9"/>
  <c r="L9"/>
  <c r="S8"/>
  <c r="T8" s="1"/>
  <c r="Q8"/>
  <c r="O8"/>
  <c r="L8"/>
  <c r="S7"/>
  <c r="T7" s="1"/>
  <c r="Q7"/>
  <c r="O7"/>
  <c r="L7"/>
  <c r="S6"/>
  <c r="T6" s="1"/>
  <c r="Q6"/>
  <c r="O6"/>
  <c r="L6"/>
  <c r="S5"/>
  <c r="T5" s="1"/>
  <c r="Q5"/>
  <c r="O5"/>
  <c r="L5"/>
  <c r="S4"/>
  <c r="S15" s="1"/>
  <c r="Q4"/>
  <c r="Q15" s="1"/>
  <c r="O4"/>
  <c r="O15" s="1"/>
  <c r="L4"/>
  <c r="M135" i="30"/>
  <c r="C135"/>
  <c r="D135"/>
  <c r="G135"/>
  <c r="H135"/>
  <c r="I135"/>
  <c r="J135"/>
  <c r="O135"/>
  <c r="B135"/>
  <c r="C158" i="29"/>
  <c r="D158"/>
  <c r="E158"/>
  <c r="G158"/>
  <c r="H158"/>
  <c r="I158"/>
  <c r="J158"/>
  <c r="M158"/>
  <c r="O158"/>
  <c r="B158"/>
  <c r="C145" i="27"/>
  <c r="D145"/>
  <c r="E145"/>
  <c r="G145"/>
  <c r="H145"/>
  <c r="I145"/>
  <c r="J145"/>
  <c r="M145"/>
  <c r="M138" i="30" s="1"/>
  <c r="O145" i="27"/>
  <c r="B145"/>
  <c r="B138" i="30" s="1"/>
  <c r="S134"/>
  <c r="N134"/>
  <c r="P134" s="1"/>
  <c r="R134" s="1"/>
  <c r="L134"/>
  <c r="T134" s="1"/>
  <c r="N133"/>
  <c r="P133" s="1"/>
  <c r="R133" s="1"/>
  <c r="K133"/>
  <c r="L133" s="1"/>
  <c r="N132"/>
  <c r="P132" s="1"/>
  <c r="R132" s="1"/>
  <c r="K132"/>
  <c r="L132" s="1"/>
  <c r="N131"/>
  <c r="P131" s="1"/>
  <c r="R131" s="1"/>
  <c r="L131"/>
  <c r="T131" s="1"/>
  <c r="K130"/>
  <c r="F130"/>
  <c r="K129"/>
  <c r="L129" s="1"/>
  <c r="F129"/>
  <c r="N129" s="1"/>
  <c r="P129" s="1"/>
  <c r="R129" s="1"/>
  <c r="P128"/>
  <c r="R128" s="1"/>
  <c r="N128"/>
  <c r="L128"/>
  <c r="T128" s="1"/>
  <c r="K128"/>
  <c r="P127"/>
  <c r="R127" s="1"/>
  <c r="N127"/>
  <c r="L127"/>
  <c r="T127" s="1"/>
  <c r="K127"/>
  <c r="K126"/>
  <c r="F126"/>
  <c r="N125"/>
  <c r="P125" s="1"/>
  <c r="R125" s="1"/>
  <c r="K125"/>
  <c r="L125" s="1"/>
  <c r="N124"/>
  <c r="P124" s="1"/>
  <c r="R124" s="1"/>
  <c r="K124"/>
  <c r="L124" s="1"/>
  <c r="N123"/>
  <c r="P123" s="1"/>
  <c r="R123" s="1"/>
  <c r="K123"/>
  <c r="L123" s="1"/>
  <c r="N122"/>
  <c r="P122" s="1"/>
  <c r="R122" s="1"/>
  <c r="K122"/>
  <c r="L122" s="1"/>
  <c r="K121"/>
  <c r="F121"/>
  <c r="N121" s="1"/>
  <c r="P121" s="1"/>
  <c r="R121" s="1"/>
  <c r="K120"/>
  <c r="F120"/>
  <c r="L120" s="1"/>
  <c r="N119"/>
  <c r="P119" s="1"/>
  <c r="R119" s="1"/>
  <c r="K119"/>
  <c r="L119" s="1"/>
  <c r="K118"/>
  <c r="L118" s="1"/>
  <c r="F118"/>
  <c r="N118" s="1"/>
  <c r="P118" s="1"/>
  <c r="R118" s="1"/>
  <c r="K117"/>
  <c r="F117"/>
  <c r="K116"/>
  <c r="F116"/>
  <c r="N116" s="1"/>
  <c r="P116" s="1"/>
  <c r="R116" s="1"/>
  <c r="N115"/>
  <c r="P115" s="1"/>
  <c r="R115" s="1"/>
  <c r="L115"/>
  <c r="T115" s="1"/>
  <c r="K115"/>
  <c r="K114"/>
  <c r="F114"/>
  <c r="K113"/>
  <c r="F113"/>
  <c r="N113" s="1"/>
  <c r="P113" s="1"/>
  <c r="R113" s="1"/>
  <c r="K112"/>
  <c r="F112"/>
  <c r="L112" s="1"/>
  <c r="N111"/>
  <c r="P111" s="1"/>
  <c r="R111" s="1"/>
  <c r="K111"/>
  <c r="L111" s="1"/>
  <c r="N110"/>
  <c r="P110" s="1"/>
  <c r="R110" s="1"/>
  <c r="K110"/>
  <c r="L110" s="1"/>
  <c r="N109"/>
  <c r="P109" s="1"/>
  <c r="R109" s="1"/>
  <c r="K109"/>
  <c r="L109" s="1"/>
  <c r="N108"/>
  <c r="P108" s="1"/>
  <c r="R108" s="1"/>
  <c r="K108"/>
  <c r="L108" s="1"/>
  <c r="K107"/>
  <c r="L107" s="1"/>
  <c r="F107"/>
  <c r="N107" s="1"/>
  <c r="P107" s="1"/>
  <c r="R107" s="1"/>
  <c r="N106"/>
  <c r="P106" s="1"/>
  <c r="R106" s="1"/>
  <c r="K106"/>
  <c r="L106" s="1"/>
  <c r="T106" s="1"/>
  <c r="K105"/>
  <c r="F105"/>
  <c r="L105" s="1"/>
  <c r="N104"/>
  <c r="P104" s="1"/>
  <c r="R104" s="1"/>
  <c r="K104"/>
  <c r="L104" s="1"/>
  <c r="K103"/>
  <c r="L103" s="1"/>
  <c r="F103"/>
  <c r="N103" s="1"/>
  <c r="P103" s="1"/>
  <c r="R103" s="1"/>
  <c r="K102"/>
  <c r="F102"/>
  <c r="N101"/>
  <c r="P101" s="1"/>
  <c r="R101" s="1"/>
  <c r="K101"/>
  <c r="L101" s="1"/>
  <c r="N100"/>
  <c r="P100" s="1"/>
  <c r="R100" s="1"/>
  <c r="K100"/>
  <c r="L100" s="1"/>
  <c r="N99"/>
  <c r="P99" s="1"/>
  <c r="R99" s="1"/>
  <c r="K99"/>
  <c r="L99" s="1"/>
  <c r="K98"/>
  <c r="F98"/>
  <c r="N98" s="1"/>
  <c r="P98" s="1"/>
  <c r="R98" s="1"/>
  <c r="K97"/>
  <c r="F97"/>
  <c r="L97" s="1"/>
  <c r="N96"/>
  <c r="P96" s="1"/>
  <c r="R96" s="1"/>
  <c r="K96"/>
  <c r="L96" s="1"/>
  <c r="K95"/>
  <c r="L95" s="1"/>
  <c r="F95"/>
  <c r="N95" s="1"/>
  <c r="P95" s="1"/>
  <c r="R95" s="1"/>
  <c r="K94"/>
  <c r="F94"/>
  <c r="K93"/>
  <c r="F93"/>
  <c r="N93" s="1"/>
  <c r="P93" s="1"/>
  <c r="R93" s="1"/>
  <c r="K92"/>
  <c r="F92"/>
  <c r="L92" s="1"/>
  <c r="K91"/>
  <c r="L91" s="1"/>
  <c r="F91"/>
  <c r="N91" s="1"/>
  <c r="P91" s="1"/>
  <c r="R91" s="1"/>
  <c r="N90"/>
  <c r="P90" s="1"/>
  <c r="R90" s="1"/>
  <c r="K90"/>
  <c r="L90" s="1"/>
  <c r="T90" s="1"/>
  <c r="N89"/>
  <c r="P89" s="1"/>
  <c r="R89" s="1"/>
  <c r="L89"/>
  <c r="T89" s="1"/>
  <c r="K89"/>
  <c r="P88"/>
  <c r="R88" s="1"/>
  <c r="N88"/>
  <c r="L88"/>
  <c r="T88" s="1"/>
  <c r="K88"/>
  <c r="P87"/>
  <c r="R87" s="1"/>
  <c r="N87"/>
  <c r="L87"/>
  <c r="T87" s="1"/>
  <c r="K87"/>
  <c r="P86"/>
  <c r="R86" s="1"/>
  <c r="N86"/>
  <c r="L86"/>
  <c r="T86" s="1"/>
  <c r="K86"/>
  <c r="P85"/>
  <c r="R85" s="1"/>
  <c r="N85"/>
  <c r="L85"/>
  <c r="T85" s="1"/>
  <c r="K85"/>
  <c r="P84"/>
  <c r="R84" s="1"/>
  <c r="N84"/>
  <c r="L84"/>
  <c r="T84" s="1"/>
  <c r="K84"/>
  <c r="P83"/>
  <c r="R83" s="1"/>
  <c r="N83"/>
  <c r="L83"/>
  <c r="T83" s="1"/>
  <c r="K83"/>
  <c r="K82"/>
  <c r="F82"/>
  <c r="N81"/>
  <c r="P81" s="1"/>
  <c r="R81" s="1"/>
  <c r="K81"/>
  <c r="L81" s="1"/>
  <c r="T81" s="1"/>
  <c r="N80"/>
  <c r="P80" s="1"/>
  <c r="R80" s="1"/>
  <c r="K80"/>
  <c r="L80" s="1"/>
  <c r="T80" s="1"/>
  <c r="N79"/>
  <c r="P79" s="1"/>
  <c r="R79" s="1"/>
  <c r="K79"/>
  <c r="L79" s="1"/>
  <c r="T79" s="1"/>
  <c r="N78"/>
  <c r="P78" s="1"/>
  <c r="R78" s="1"/>
  <c r="K78"/>
  <c r="L78" s="1"/>
  <c r="T78" s="1"/>
  <c r="N77"/>
  <c r="P77" s="1"/>
  <c r="R77" s="1"/>
  <c r="K77"/>
  <c r="L77" s="1"/>
  <c r="T77" s="1"/>
  <c r="N76"/>
  <c r="P76" s="1"/>
  <c r="R76" s="1"/>
  <c r="K76"/>
  <c r="L76" s="1"/>
  <c r="T76" s="1"/>
  <c r="N75"/>
  <c r="P75" s="1"/>
  <c r="R75" s="1"/>
  <c r="K75"/>
  <c r="L75" s="1"/>
  <c r="T75" s="1"/>
  <c r="N74"/>
  <c r="P74" s="1"/>
  <c r="R74" s="1"/>
  <c r="K74"/>
  <c r="L74" s="1"/>
  <c r="T74" s="1"/>
  <c r="N73"/>
  <c r="P73" s="1"/>
  <c r="R73" s="1"/>
  <c r="K73"/>
  <c r="L73" s="1"/>
  <c r="T73" s="1"/>
  <c r="N72"/>
  <c r="P72" s="1"/>
  <c r="R72" s="1"/>
  <c r="K72"/>
  <c r="L72" s="1"/>
  <c r="T72" s="1"/>
  <c r="N71"/>
  <c r="P71" s="1"/>
  <c r="R71" s="1"/>
  <c r="K71"/>
  <c r="L71" s="1"/>
  <c r="T71" s="1"/>
  <c r="N70"/>
  <c r="P70" s="1"/>
  <c r="R70" s="1"/>
  <c r="K70"/>
  <c r="L70" s="1"/>
  <c r="T70" s="1"/>
  <c r="N69"/>
  <c r="P69" s="1"/>
  <c r="R69" s="1"/>
  <c r="K69"/>
  <c r="L69" s="1"/>
  <c r="T69" s="1"/>
  <c r="N68"/>
  <c r="P68" s="1"/>
  <c r="R68" s="1"/>
  <c r="K68"/>
  <c r="L68" s="1"/>
  <c r="T68" s="1"/>
  <c r="N67"/>
  <c r="P67" s="1"/>
  <c r="R67" s="1"/>
  <c r="K67"/>
  <c r="L67" s="1"/>
  <c r="T67" s="1"/>
  <c r="N66"/>
  <c r="P66" s="1"/>
  <c r="R66" s="1"/>
  <c r="K66"/>
  <c r="L66" s="1"/>
  <c r="T66" s="1"/>
  <c r="N65"/>
  <c r="P65" s="1"/>
  <c r="R65" s="1"/>
  <c r="K65"/>
  <c r="L65" s="1"/>
  <c r="T65" s="1"/>
  <c r="N64"/>
  <c r="P64" s="1"/>
  <c r="R64" s="1"/>
  <c r="K64"/>
  <c r="L64" s="1"/>
  <c r="T64" s="1"/>
  <c r="N63"/>
  <c r="P63" s="1"/>
  <c r="R63" s="1"/>
  <c r="K63"/>
  <c r="L63" s="1"/>
  <c r="T63" s="1"/>
  <c r="N62"/>
  <c r="P62" s="1"/>
  <c r="R62" s="1"/>
  <c r="K62"/>
  <c r="L62" s="1"/>
  <c r="N61"/>
  <c r="P61" s="1"/>
  <c r="R61" s="1"/>
  <c r="K61"/>
  <c r="L61" s="1"/>
  <c r="N60"/>
  <c r="P60" s="1"/>
  <c r="R60" s="1"/>
  <c r="K60"/>
  <c r="L60" s="1"/>
  <c r="K59"/>
  <c r="F59"/>
  <c r="E59"/>
  <c r="E135" s="1"/>
  <c r="N58"/>
  <c r="P58" s="1"/>
  <c r="R58" s="1"/>
  <c r="K58"/>
  <c r="L58" s="1"/>
  <c r="N57"/>
  <c r="P57" s="1"/>
  <c r="R57" s="1"/>
  <c r="K57"/>
  <c r="L57" s="1"/>
  <c r="N56"/>
  <c r="P56" s="1"/>
  <c r="R56" s="1"/>
  <c r="K56"/>
  <c r="L56" s="1"/>
  <c r="N55"/>
  <c r="P55" s="1"/>
  <c r="R55" s="1"/>
  <c r="K55"/>
  <c r="L55" s="1"/>
  <c r="N54"/>
  <c r="P54" s="1"/>
  <c r="R54" s="1"/>
  <c r="K54"/>
  <c r="L54" s="1"/>
  <c r="N53"/>
  <c r="P53" s="1"/>
  <c r="R53" s="1"/>
  <c r="K53"/>
  <c r="L53" s="1"/>
  <c r="N52"/>
  <c r="P52" s="1"/>
  <c r="R52" s="1"/>
  <c r="K52"/>
  <c r="L52" s="1"/>
  <c r="N51"/>
  <c r="P51" s="1"/>
  <c r="R51" s="1"/>
  <c r="K51"/>
  <c r="L51" s="1"/>
  <c r="N50"/>
  <c r="P50" s="1"/>
  <c r="R50" s="1"/>
  <c r="K50"/>
  <c r="L50" s="1"/>
  <c r="N49"/>
  <c r="P49" s="1"/>
  <c r="R49" s="1"/>
  <c r="K49"/>
  <c r="L49" s="1"/>
  <c r="N48"/>
  <c r="P48" s="1"/>
  <c r="R48" s="1"/>
  <c r="K48"/>
  <c r="L48" s="1"/>
  <c r="N47"/>
  <c r="P47" s="1"/>
  <c r="R47" s="1"/>
  <c r="K47"/>
  <c r="L47" s="1"/>
  <c r="N46"/>
  <c r="P46" s="1"/>
  <c r="R46" s="1"/>
  <c r="K46"/>
  <c r="L46" s="1"/>
  <c r="N45"/>
  <c r="P45" s="1"/>
  <c r="R45" s="1"/>
  <c r="K45"/>
  <c r="L45" s="1"/>
  <c r="K44"/>
  <c r="L44" s="1"/>
  <c r="F44"/>
  <c r="N44" s="1"/>
  <c r="P44" s="1"/>
  <c r="R44" s="1"/>
  <c r="K43"/>
  <c r="F43"/>
  <c r="K42"/>
  <c r="F42"/>
  <c r="N42" s="1"/>
  <c r="P42" s="1"/>
  <c r="R42" s="1"/>
  <c r="N41"/>
  <c r="P41" s="1"/>
  <c r="R41" s="1"/>
  <c r="L41"/>
  <c r="T41" s="1"/>
  <c r="K41"/>
  <c r="K40"/>
  <c r="F40"/>
  <c r="K39"/>
  <c r="F39"/>
  <c r="N39" s="1"/>
  <c r="P39" s="1"/>
  <c r="R39" s="1"/>
  <c r="N38"/>
  <c r="P38" s="1"/>
  <c r="R38" s="1"/>
  <c r="L38"/>
  <c r="T38" s="1"/>
  <c r="K38"/>
  <c r="P37"/>
  <c r="R37" s="1"/>
  <c r="N37"/>
  <c r="L37"/>
  <c r="T37" s="1"/>
  <c r="K37"/>
  <c r="K36"/>
  <c r="F36"/>
  <c r="K35"/>
  <c r="F35"/>
  <c r="N35" s="1"/>
  <c r="P35" s="1"/>
  <c r="R35" s="1"/>
  <c r="K34"/>
  <c r="F34"/>
  <c r="L34" s="1"/>
  <c r="K33"/>
  <c r="L33" s="1"/>
  <c r="F33"/>
  <c r="N33" s="1"/>
  <c r="P33" s="1"/>
  <c r="R33" s="1"/>
  <c r="K32"/>
  <c r="F32"/>
  <c r="K31"/>
  <c r="F31"/>
  <c r="N31" s="1"/>
  <c r="P31" s="1"/>
  <c r="R31" s="1"/>
  <c r="N30"/>
  <c r="P30" s="1"/>
  <c r="R30" s="1"/>
  <c r="L30"/>
  <c r="T30" s="1"/>
  <c r="K30"/>
  <c r="N29"/>
  <c r="P29" s="1"/>
  <c r="R29" s="1"/>
  <c r="K29"/>
  <c r="L29" s="1"/>
  <c r="T29" s="1"/>
  <c r="N28"/>
  <c r="P28" s="1"/>
  <c r="R28" s="1"/>
  <c r="L28"/>
  <c r="Q28" s="1"/>
  <c r="S28" s="1"/>
  <c r="K28"/>
  <c r="P27"/>
  <c r="R27" s="1"/>
  <c r="N27"/>
  <c r="L27"/>
  <c r="T27" s="1"/>
  <c r="K27"/>
  <c r="P26"/>
  <c r="R26" s="1"/>
  <c r="N26"/>
  <c r="L26"/>
  <c r="Q26" s="1"/>
  <c r="S26" s="1"/>
  <c r="K26"/>
  <c r="P25"/>
  <c r="R25" s="1"/>
  <c r="N25"/>
  <c r="L25"/>
  <c r="T25" s="1"/>
  <c r="K25"/>
  <c r="P24"/>
  <c r="R24" s="1"/>
  <c r="N24"/>
  <c r="L24"/>
  <c r="Q24" s="1"/>
  <c r="S24" s="1"/>
  <c r="K24"/>
  <c r="P23"/>
  <c r="R23" s="1"/>
  <c r="N23"/>
  <c r="L23"/>
  <c r="T23" s="1"/>
  <c r="K23"/>
  <c r="P22"/>
  <c r="R22" s="1"/>
  <c r="N22"/>
  <c r="L22"/>
  <c r="T22" s="1"/>
  <c r="K22"/>
  <c r="P21"/>
  <c r="R21" s="1"/>
  <c r="N21"/>
  <c r="L21"/>
  <c r="Q21" s="1"/>
  <c r="S21" s="1"/>
  <c r="K21"/>
  <c r="P20"/>
  <c r="R20" s="1"/>
  <c r="N20"/>
  <c r="L20"/>
  <c r="T20" s="1"/>
  <c r="K20"/>
  <c r="P19"/>
  <c r="R19" s="1"/>
  <c r="N19"/>
  <c r="L19"/>
  <c r="Q19" s="1"/>
  <c r="S19" s="1"/>
  <c r="K19"/>
  <c r="P18"/>
  <c r="R18" s="1"/>
  <c r="N18"/>
  <c r="L18"/>
  <c r="T18" s="1"/>
  <c r="K18"/>
  <c r="K17"/>
  <c r="F17"/>
  <c r="F135" s="1"/>
  <c r="N16"/>
  <c r="P16" s="1"/>
  <c r="R16" s="1"/>
  <c r="K16"/>
  <c r="L16" s="1"/>
  <c r="N15"/>
  <c r="P15" s="1"/>
  <c r="R15" s="1"/>
  <c r="K15"/>
  <c r="L15" s="1"/>
  <c r="N14"/>
  <c r="P14" s="1"/>
  <c r="R14" s="1"/>
  <c r="K14"/>
  <c r="L14" s="1"/>
  <c r="N13"/>
  <c r="P13" s="1"/>
  <c r="R13" s="1"/>
  <c r="K13"/>
  <c r="L13" s="1"/>
  <c r="N12"/>
  <c r="P12" s="1"/>
  <c r="R12" s="1"/>
  <c r="K12"/>
  <c r="L12" s="1"/>
  <c r="N11"/>
  <c r="P11" s="1"/>
  <c r="R11" s="1"/>
  <c r="K11"/>
  <c r="L11" s="1"/>
  <c r="N10"/>
  <c r="P10" s="1"/>
  <c r="R10" s="1"/>
  <c r="K10"/>
  <c r="L10" s="1"/>
  <c r="N9"/>
  <c r="P9" s="1"/>
  <c r="R9" s="1"/>
  <c r="K9"/>
  <c r="L9" s="1"/>
  <c r="N8"/>
  <c r="P8" s="1"/>
  <c r="R8" s="1"/>
  <c r="K8"/>
  <c r="L8" s="1"/>
  <c r="N7"/>
  <c r="P7" s="1"/>
  <c r="R7" s="1"/>
  <c r="K7"/>
  <c r="L7" s="1"/>
  <c r="N6"/>
  <c r="P6" s="1"/>
  <c r="R6" s="1"/>
  <c r="K6"/>
  <c r="L6" s="1"/>
  <c r="N5"/>
  <c r="P5" s="1"/>
  <c r="R5" s="1"/>
  <c r="K5"/>
  <c r="L5" s="1"/>
  <c r="N4"/>
  <c r="K4"/>
  <c r="K135" s="1"/>
  <c r="O136" i="29"/>
  <c r="M136"/>
  <c r="J136"/>
  <c r="I136"/>
  <c r="H136"/>
  <c r="G136"/>
  <c r="D136"/>
  <c r="C136"/>
  <c r="B136"/>
  <c r="S135"/>
  <c r="N135"/>
  <c r="P135" s="1"/>
  <c r="R135" s="1"/>
  <c r="L135"/>
  <c r="T135" s="1"/>
  <c r="N134"/>
  <c r="P134" s="1"/>
  <c r="R134" s="1"/>
  <c r="K134"/>
  <c r="L134" s="1"/>
  <c r="Q134" s="1"/>
  <c r="S134" s="1"/>
  <c r="N133"/>
  <c r="P133" s="1"/>
  <c r="R133" s="1"/>
  <c r="K133"/>
  <c r="L133" s="1"/>
  <c r="Q133" s="1"/>
  <c r="S133" s="1"/>
  <c r="N132"/>
  <c r="P132" s="1"/>
  <c r="R132" s="1"/>
  <c r="L132"/>
  <c r="Q132" s="1"/>
  <c r="S132" s="1"/>
  <c r="K131"/>
  <c r="F131"/>
  <c r="N131" s="1"/>
  <c r="P131" s="1"/>
  <c r="R131" s="1"/>
  <c r="K130"/>
  <c r="F130"/>
  <c r="N130" s="1"/>
  <c r="P130" s="1"/>
  <c r="R130" s="1"/>
  <c r="N129"/>
  <c r="P129" s="1"/>
  <c r="R129" s="1"/>
  <c r="K129"/>
  <c r="L129" s="1"/>
  <c r="N128"/>
  <c r="P128" s="1"/>
  <c r="R128" s="1"/>
  <c r="K128"/>
  <c r="L128" s="1"/>
  <c r="K127"/>
  <c r="F127"/>
  <c r="N127" s="1"/>
  <c r="P127" s="1"/>
  <c r="R127" s="1"/>
  <c r="N126"/>
  <c r="P126" s="1"/>
  <c r="R126" s="1"/>
  <c r="K126"/>
  <c r="L126" s="1"/>
  <c r="Q126" s="1"/>
  <c r="S126" s="1"/>
  <c r="N125"/>
  <c r="P125" s="1"/>
  <c r="R125" s="1"/>
  <c r="K125"/>
  <c r="L125" s="1"/>
  <c r="Q125" s="1"/>
  <c r="S125" s="1"/>
  <c r="N124"/>
  <c r="P124" s="1"/>
  <c r="R124" s="1"/>
  <c r="K124"/>
  <c r="L124" s="1"/>
  <c r="Q124" s="1"/>
  <c r="S124" s="1"/>
  <c r="N123"/>
  <c r="P123" s="1"/>
  <c r="R123" s="1"/>
  <c r="K123"/>
  <c r="L123" s="1"/>
  <c r="Q123" s="1"/>
  <c r="S123" s="1"/>
  <c r="K122"/>
  <c r="F122"/>
  <c r="N122" s="1"/>
  <c r="P122" s="1"/>
  <c r="R122" s="1"/>
  <c r="K121"/>
  <c r="F121"/>
  <c r="N121" s="1"/>
  <c r="P121" s="1"/>
  <c r="R121" s="1"/>
  <c r="N120"/>
  <c r="P120" s="1"/>
  <c r="R120" s="1"/>
  <c r="K120"/>
  <c r="L120" s="1"/>
  <c r="Q120" s="1"/>
  <c r="S120" s="1"/>
  <c r="K119"/>
  <c r="F119"/>
  <c r="N119" s="1"/>
  <c r="P119" s="1"/>
  <c r="R119" s="1"/>
  <c r="K118"/>
  <c r="F118"/>
  <c r="N118" s="1"/>
  <c r="P118" s="1"/>
  <c r="R118" s="1"/>
  <c r="K117"/>
  <c r="F117"/>
  <c r="N117" s="1"/>
  <c r="P117" s="1"/>
  <c r="R117" s="1"/>
  <c r="N116"/>
  <c r="P116" s="1"/>
  <c r="R116" s="1"/>
  <c r="K116"/>
  <c r="L116" s="1"/>
  <c r="K115"/>
  <c r="F115"/>
  <c r="N115" s="1"/>
  <c r="P115" s="1"/>
  <c r="R115" s="1"/>
  <c r="K114"/>
  <c r="F114"/>
  <c r="N114" s="1"/>
  <c r="P114" s="1"/>
  <c r="R114" s="1"/>
  <c r="K113"/>
  <c r="F113"/>
  <c r="N113" s="1"/>
  <c r="P113" s="1"/>
  <c r="R113" s="1"/>
  <c r="N112"/>
  <c r="P112" s="1"/>
  <c r="R112" s="1"/>
  <c r="K112"/>
  <c r="L112" s="1"/>
  <c r="Q112" s="1"/>
  <c r="S112" s="1"/>
  <c r="N111"/>
  <c r="P111" s="1"/>
  <c r="R111" s="1"/>
  <c r="K111"/>
  <c r="L111" s="1"/>
  <c r="Q111" s="1"/>
  <c r="S111" s="1"/>
  <c r="N110"/>
  <c r="P110" s="1"/>
  <c r="R110" s="1"/>
  <c r="K110"/>
  <c r="L110" s="1"/>
  <c r="Q110" s="1"/>
  <c r="S110" s="1"/>
  <c r="N109"/>
  <c r="P109" s="1"/>
  <c r="R109" s="1"/>
  <c r="K109"/>
  <c r="L109" s="1"/>
  <c r="Q109" s="1"/>
  <c r="S109" s="1"/>
  <c r="K108"/>
  <c r="F108"/>
  <c r="N108" s="1"/>
  <c r="P108" s="1"/>
  <c r="R108" s="1"/>
  <c r="N107"/>
  <c r="P107" s="1"/>
  <c r="R107" s="1"/>
  <c r="K107"/>
  <c r="L107" s="1"/>
  <c r="K106"/>
  <c r="F106"/>
  <c r="N106" s="1"/>
  <c r="P106" s="1"/>
  <c r="R106" s="1"/>
  <c r="N105"/>
  <c r="P105" s="1"/>
  <c r="R105" s="1"/>
  <c r="K105"/>
  <c r="L105" s="1"/>
  <c r="Q105" s="1"/>
  <c r="S105" s="1"/>
  <c r="K104"/>
  <c r="F104"/>
  <c r="N104" s="1"/>
  <c r="P104" s="1"/>
  <c r="R104" s="1"/>
  <c r="K103"/>
  <c r="F103"/>
  <c r="N103" s="1"/>
  <c r="P103" s="1"/>
  <c r="R103" s="1"/>
  <c r="N102"/>
  <c r="P102" s="1"/>
  <c r="R102" s="1"/>
  <c r="K102"/>
  <c r="L102" s="1"/>
  <c r="Q102" s="1"/>
  <c r="S102" s="1"/>
  <c r="N101"/>
  <c r="P101" s="1"/>
  <c r="R101" s="1"/>
  <c r="K101"/>
  <c r="L101" s="1"/>
  <c r="Q101" s="1"/>
  <c r="S101" s="1"/>
  <c r="N100"/>
  <c r="P100" s="1"/>
  <c r="R100" s="1"/>
  <c r="K100"/>
  <c r="L100" s="1"/>
  <c r="Q100" s="1"/>
  <c r="S100" s="1"/>
  <c r="K99"/>
  <c r="F99"/>
  <c r="N99" s="1"/>
  <c r="P99" s="1"/>
  <c r="R99" s="1"/>
  <c r="K98"/>
  <c r="F98"/>
  <c r="N98" s="1"/>
  <c r="P98" s="1"/>
  <c r="R98" s="1"/>
  <c r="N97"/>
  <c r="P97" s="1"/>
  <c r="R97" s="1"/>
  <c r="K97"/>
  <c r="L97" s="1"/>
  <c r="Q97" s="1"/>
  <c r="S97" s="1"/>
  <c r="K96"/>
  <c r="F96"/>
  <c r="N96" s="1"/>
  <c r="P96" s="1"/>
  <c r="R96" s="1"/>
  <c r="K95"/>
  <c r="F95"/>
  <c r="N95" s="1"/>
  <c r="P95" s="1"/>
  <c r="R95" s="1"/>
  <c r="K94"/>
  <c r="F94"/>
  <c r="N94" s="1"/>
  <c r="P94" s="1"/>
  <c r="R94" s="1"/>
  <c r="K93"/>
  <c r="F93"/>
  <c r="N93" s="1"/>
  <c r="P93" s="1"/>
  <c r="R93" s="1"/>
  <c r="K92"/>
  <c r="F92"/>
  <c r="N92" s="1"/>
  <c r="P92" s="1"/>
  <c r="R92" s="1"/>
  <c r="N91"/>
  <c r="P91" s="1"/>
  <c r="R91" s="1"/>
  <c r="K91"/>
  <c r="L91" s="1"/>
  <c r="N90"/>
  <c r="P90" s="1"/>
  <c r="R90" s="1"/>
  <c r="K90"/>
  <c r="L90" s="1"/>
  <c r="N89"/>
  <c r="P89" s="1"/>
  <c r="R89" s="1"/>
  <c r="K89"/>
  <c r="L89" s="1"/>
  <c r="N88"/>
  <c r="P88" s="1"/>
  <c r="R88" s="1"/>
  <c r="K88"/>
  <c r="L88" s="1"/>
  <c r="T88" s="1"/>
  <c r="N87"/>
  <c r="P87" s="1"/>
  <c r="R87" s="1"/>
  <c r="K87"/>
  <c r="L87" s="1"/>
  <c r="T87" s="1"/>
  <c r="N86"/>
  <c r="P86" s="1"/>
  <c r="R86" s="1"/>
  <c r="K86"/>
  <c r="L86" s="1"/>
  <c r="T86" s="1"/>
  <c r="N85"/>
  <c r="P85" s="1"/>
  <c r="R85" s="1"/>
  <c r="K85"/>
  <c r="L85" s="1"/>
  <c r="T85" s="1"/>
  <c r="N84"/>
  <c r="P84" s="1"/>
  <c r="R84" s="1"/>
  <c r="K84"/>
  <c r="L84" s="1"/>
  <c r="T84" s="1"/>
  <c r="K83"/>
  <c r="F83"/>
  <c r="F158" s="1"/>
  <c r="N82"/>
  <c r="P82" s="1"/>
  <c r="R82" s="1"/>
  <c r="K82"/>
  <c r="L82" s="1"/>
  <c r="Q82" s="1"/>
  <c r="S82" s="1"/>
  <c r="N81"/>
  <c r="P81" s="1"/>
  <c r="R81" s="1"/>
  <c r="K81"/>
  <c r="L81" s="1"/>
  <c r="Q81" s="1"/>
  <c r="S81" s="1"/>
  <c r="N80"/>
  <c r="P80" s="1"/>
  <c r="R80" s="1"/>
  <c r="K80"/>
  <c r="L80" s="1"/>
  <c r="Q80" s="1"/>
  <c r="S80" s="1"/>
  <c r="N79"/>
  <c r="P79" s="1"/>
  <c r="R79" s="1"/>
  <c r="K79"/>
  <c r="L79" s="1"/>
  <c r="Q79" s="1"/>
  <c r="S79" s="1"/>
  <c r="N78"/>
  <c r="P78" s="1"/>
  <c r="R78" s="1"/>
  <c r="K78"/>
  <c r="L78" s="1"/>
  <c r="Q78" s="1"/>
  <c r="S78" s="1"/>
  <c r="N77"/>
  <c r="P77" s="1"/>
  <c r="R77" s="1"/>
  <c r="K77"/>
  <c r="L77" s="1"/>
  <c r="Q77" s="1"/>
  <c r="S77" s="1"/>
  <c r="N76"/>
  <c r="P76" s="1"/>
  <c r="R76" s="1"/>
  <c r="K76"/>
  <c r="L76" s="1"/>
  <c r="Q76" s="1"/>
  <c r="S76" s="1"/>
  <c r="N75"/>
  <c r="P75" s="1"/>
  <c r="R75" s="1"/>
  <c r="K75"/>
  <c r="L75" s="1"/>
  <c r="Q75" s="1"/>
  <c r="S75" s="1"/>
  <c r="N74"/>
  <c r="P74" s="1"/>
  <c r="R74" s="1"/>
  <c r="K74"/>
  <c r="L74" s="1"/>
  <c r="Q74" s="1"/>
  <c r="S74" s="1"/>
  <c r="N73"/>
  <c r="P73" s="1"/>
  <c r="R73" s="1"/>
  <c r="K73"/>
  <c r="L73" s="1"/>
  <c r="Q73" s="1"/>
  <c r="S73" s="1"/>
  <c r="N72"/>
  <c r="P72" s="1"/>
  <c r="R72" s="1"/>
  <c r="K72"/>
  <c r="L72" s="1"/>
  <c r="Q72" s="1"/>
  <c r="S72" s="1"/>
  <c r="N71"/>
  <c r="P71" s="1"/>
  <c r="R71" s="1"/>
  <c r="K71"/>
  <c r="L71" s="1"/>
  <c r="Q71" s="1"/>
  <c r="S71" s="1"/>
  <c r="N70"/>
  <c r="P70" s="1"/>
  <c r="R70" s="1"/>
  <c r="K70"/>
  <c r="L70" s="1"/>
  <c r="Q70" s="1"/>
  <c r="S70" s="1"/>
  <c r="N69"/>
  <c r="P69" s="1"/>
  <c r="R69" s="1"/>
  <c r="K69"/>
  <c r="L69" s="1"/>
  <c r="Q69" s="1"/>
  <c r="S69" s="1"/>
  <c r="N68"/>
  <c r="P68" s="1"/>
  <c r="R68" s="1"/>
  <c r="K68"/>
  <c r="L68" s="1"/>
  <c r="Q68" s="1"/>
  <c r="S68" s="1"/>
  <c r="N67"/>
  <c r="P67" s="1"/>
  <c r="R67" s="1"/>
  <c r="K67"/>
  <c r="L67" s="1"/>
  <c r="Q67" s="1"/>
  <c r="S67" s="1"/>
  <c r="N66"/>
  <c r="P66" s="1"/>
  <c r="R66" s="1"/>
  <c r="K66"/>
  <c r="L66" s="1"/>
  <c r="Q66" s="1"/>
  <c r="S66" s="1"/>
  <c r="N65"/>
  <c r="P65" s="1"/>
  <c r="R65" s="1"/>
  <c r="K65"/>
  <c r="L65" s="1"/>
  <c r="Q65" s="1"/>
  <c r="S65" s="1"/>
  <c r="N64"/>
  <c r="P64" s="1"/>
  <c r="R64" s="1"/>
  <c r="K64"/>
  <c r="L64" s="1"/>
  <c r="Q64" s="1"/>
  <c r="S64" s="1"/>
  <c r="N63"/>
  <c r="P63" s="1"/>
  <c r="R63" s="1"/>
  <c r="K63"/>
  <c r="L63" s="1"/>
  <c r="Q63" s="1"/>
  <c r="S63" s="1"/>
  <c r="N62"/>
  <c r="P62" s="1"/>
  <c r="R62" s="1"/>
  <c r="K62"/>
  <c r="L62" s="1"/>
  <c r="Q62" s="1"/>
  <c r="S62" s="1"/>
  <c r="N61"/>
  <c r="P61" s="1"/>
  <c r="R61" s="1"/>
  <c r="K61"/>
  <c r="L61" s="1"/>
  <c r="Q61" s="1"/>
  <c r="S61" s="1"/>
  <c r="K60"/>
  <c r="F60"/>
  <c r="E60"/>
  <c r="N59"/>
  <c r="P59" s="1"/>
  <c r="R59" s="1"/>
  <c r="K59"/>
  <c r="L59" s="1"/>
  <c r="Q59" s="1"/>
  <c r="S59" s="1"/>
  <c r="N58"/>
  <c r="P58" s="1"/>
  <c r="R58" s="1"/>
  <c r="K58"/>
  <c r="L58" s="1"/>
  <c r="Q58" s="1"/>
  <c r="S58" s="1"/>
  <c r="N57"/>
  <c r="P57" s="1"/>
  <c r="R57" s="1"/>
  <c r="K57"/>
  <c r="L57" s="1"/>
  <c r="Q57" s="1"/>
  <c r="S57" s="1"/>
  <c r="N56"/>
  <c r="P56" s="1"/>
  <c r="R56" s="1"/>
  <c r="K56"/>
  <c r="L56" s="1"/>
  <c r="Q56" s="1"/>
  <c r="S56" s="1"/>
  <c r="N55"/>
  <c r="P55" s="1"/>
  <c r="R55" s="1"/>
  <c r="K55"/>
  <c r="L55" s="1"/>
  <c r="Q55" s="1"/>
  <c r="S55" s="1"/>
  <c r="N54"/>
  <c r="P54" s="1"/>
  <c r="R54" s="1"/>
  <c r="K54"/>
  <c r="L54" s="1"/>
  <c r="Q54" s="1"/>
  <c r="S54" s="1"/>
  <c r="N53"/>
  <c r="P53" s="1"/>
  <c r="R53" s="1"/>
  <c r="K53"/>
  <c r="L53" s="1"/>
  <c r="Q53" s="1"/>
  <c r="S53" s="1"/>
  <c r="N52"/>
  <c r="P52" s="1"/>
  <c r="R52" s="1"/>
  <c r="K52"/>
  <c r="L52" s="1"/>
  <c r="Q52" s="1"/>
  <c r="S52" s="1"/>
  <c r="N51"/>
  <c r="P51" s="1"/>
  <c r="R51" s="1"/>
  <c r="K51"/>
  <c r="L51" s="1"/>
  <c r="Q51" s="1"/>
  <c r="S51" s="1"/>
  <c r="N50"/>
  <c r="P50" s="1"/>
  <c r="R50" s="1"/>
  <c r="K50"/>
  <c r="L50" s="1"/>
  <c r="Q50" s="1"/>
  <c r="S50" s="1"/>
  <c r="N49"/>
  <c r="P49" s="1"/>
  <c r="R49" s="1"/>
  <c r="K49"/>
  <c r="L49" s="1"/>
  <c r="Q49" s="1"/>
  <c r="S49" s="1"/>
  <c r="N48"/>
  <c r="P48" s="1"/>
  <c r="R48" s="1"/>
  <c r="K48"/>
  <c r="L48" s="1"/>
  <c r="Q48" s="1"/>
  <c r="S48" s="1"/>
  <c r="N47"/>
  <c r="P47" s="1"/>
  <c r="R47" s="1"/>
  <c r="K47"/>
  <c r="L47" s="1"/>
  <c r="Q47" s="1"/>
  <c r="S47" s="1"/>
  <c r="N46"/>
  <c r="P46" s="1"/>
  <c r="R46" s="1"/>
  <c r="K46"/>
  <c r="L46" s="1"/>
  <c r="Q46" s="1"/>
  <c r="S46" s="1"/>
  <c r="K45"/>
  <c r="F45"/>
  <c r="N45" s="1"/>
  <c r="P45" s="1"/>
  <c r="R45" s="1"/>
  <c r="K44"/>
  <c r="F44"/>
  <c r="N44" s="1"/>
  <c r="P44" s="1"/>
  <c r="R44" s="1"/>
  <c r="K43"/>
  <c r="F43"/>
  <c r="N43" s="1"/>
  <c r="P43" s="1"/>
  <c r="R43" s="1"/>
  <c r="N42"/>
  <c r="P42" s="1"/>
  <c r="R42" s="1"/>
  <c r="K42"/>
  <c r="L42" s="1"/>
  <c r="T42" s="1"/>
  <c r="K41"/>
  <c r="F41"/>
  <c r="K40"/>
  <c r="F40"/>
  <c r="N40" s="1"/>
  <c r="P40" s="1"/>
  <c r="R40" s="1"/>
  <c r="N39"/>
  <c r="P39" s="1"/>
  <c r="R39" s="1"/>
  <c r="K39"/>
  <c r="L39" s="1"/>
  <c r="T39" s="1"/>
  <c r="N38"/>
  <c r="P38" s="1"/>
  <c r="R38" s="1"/>
  <c r="K38"/>
  <c r="L38" s="1"/>
  <c r="T38" s="1"/>
  <c r="K37"/>
  <c r="F37"/>
  <c r="K36"/>
  <c r="F36"/>
  <c r="N36" s="1"/>
  <c r="P36" s="1"/>
  <c r="R36" s="1"/>
  <c r="K35"/>
  <c r="F35"/>
  <c r="K34"/>
  <c r="F34"/>
  <c r="N34" s="1"/>
  <c r="P34" s="1"/>
  <c r="R34" s="1"/>
  <c r="K33"/>
  <c r="F33"/>
  <c r="K32"/>
  <c r="F32"/>
  <c r="N32" s="1"/>
  <c r="P32" s="1"/>
  <c r="R32" s="1"/>
  <c r="N31"/>
  <c r="P31" s="1"/>
  <c r="R31" s="1"/>
  <c r="K31"/>
  <c r="L31" s="1"/>
  <c r="T31" s="1"/>
  <c r="N30"/>
  <c r="P30" s="1"/>
  <c r="R30" s="1"/>
  <c r="K30"/>
  <c r="L30" s="1"/>
  <c r="T30" s="1"/>
  <c r="N29"/>
  <c r="P29" s="1"/>
  <c r="R29" s="1"/>
  <c r="K29"/>
  <c r="L29" s="1"/>
  <c r="T29" s="1"/>
  <c r="N28"/>
  <c r="P28" s="1"/>
  <c r="R28" s="1"/>
  <c r="K28"/>
  <c r="L28" s="1"/>
  <c r="T28" s="1"/>
  <c r="N27"/>
  <c r="P27" s="1"/>
  <c r="R27" s="1"/>
  <c r="K27"/>
  <c r="L27" s="1"/>
  <c r="T27" s="1"/>
  <c r="N26"/>
  <c r="P26" s="1"/>
  <c r="R26" s="1"/>
  <c r="K26"/>
  <c r="L26" s="1"/>
  <c r="T26" s="1"/>
  <c r="N25"/>
  <c r="P25" s="1"/>
  <c r="R25" s="1"/>
  <c r="K25"/>
  <c r="L25" s="1"/>
  <c r="T25" s="1"/>
  <c r="N24"/>
  <c r="P24" s="1"/>
  <c r="R24" s="1"/>
  <c r="K24"/>
  <c r="L24" s="1"/>
  <c r="T24" s="1"/>
  <c r="N23"/>
  <c r="P23" s="1"/>
  <c r="R23" s="1"/>
  <c r="K23"/>
  <c r="L23" s="1"/>
  <c r="T23" s="1"/>
  <c r="N22"/>
  <c r="P22" s="1"/>
  <c r="R22" s="1"/>
  <c r="K22"/>
  <c r="L22" s="1"/>
  <c r="T22" s="1"/>
  <c r="N21"/>
  <c r="P21" s="1"/>
  <c r="R21" s="1"/>
  <c r="K21"/>
  <c r="L21" s="1"/>
  <c r="T21" s="1"/>
  <c r="N20"/>
  <c r="P20" s="1"/>
  <c r="R20" s="1"/>
  <c r="K20"/>
  <c r="L20" s="1"/>
  <c r="T20" s="1"/>
  <c r="N19"/>
  <c r="P19" s="1"/>
  <c r="R19" s="1"/>
  <c r="K19"/>
  <c r="L19" s="1"/>
  <c r="T19" s="1"/>
  <c r="K18"/>
  <c r="F18"/>
  <c r="N17"/>
  <c r="P17" s="1"/>
  <c r="R17" s="1"/>
  <c r="K17"/>
  <c r="L17" s="1"/>
  <c r="N16"/>
  <c r="P16" s="1"/>
  <c r="R16" s="1"/>
  <c r="K16"/>
  <c r="L16" s="1"/>
  <c r="N15"/>
  <c r="P15" s="1"/>
  <c r="R15" s="1"/>
  <c r="K15"/>
  <c r="L15" s="1"/>
  <c r="N13"/>
  <c r="P13" s="1"/>
  <c r="R13" s="1"/>
  <c r="K13"/>
  <c r="L13" s="1"/>
  <c r="N12"/>
  <c r="P12" s="1"/>
  <c r="R12" s="1"/>
  <c r="K12"/>
  <c r="L12" s="1"/>
  <c r="N11"/>
  <c r="P11" s="1"/>
  <c r="R11" s="1"/>
  <c r="K11"/>
  <c r="L11" s="1"/>
  <c r="N10"/>
  <c r="P10" s="1"/>
  <c r="R10" s="1"/>
  <c r="K10"/>
  <c r="L10" s="1"/>
  <c r="N9"/>
  <c r="P9" s="1"/>
  <c r="R9" s="1"/>
  <c r="K9"/>
  <c r="L9" s="1"/>
  <c r="N8"/>
  <c r="P8" s="1"/>
  <c r="R8" s="1"/>
  <c r="K8"/>
  <c r="L8" s="1"/>
  <c r="N7"/>
  <c r="P7" s="1"/>
  <c r="R7" s="1"/>
  <c r="K7"/>
  <c r="L7" s="1"/>
  <c r="N6"/>
  <c r="P6" s="1"/>
  <c r="R6" s="1"/>
  <c r="K6"/>
  <c r="L6" s="1"/>
  <c r="N5"/>
  <c r="P5" s="1"/>
  <c r="R5" s="1"/>
  <c r="K5"/>
  <c r="L5" s="1"/>
  <c r="N4"/>
  <c r="P4" s="1"/>
  <c r="R4" s="1"/>
  <c r="K4"/>
  <c r="L59" i="30" l="1"/>
  <c r="L130"/>
  <c r="L31"/>
  <c r="L32"/>
  <c r="L35"/>
  <c r="L36"/>
  <c r="L39"/>
  <c r="L40"/>
  <c r="L42"/>
  <c r="L43"/>
  <c r="L82"/>
  <c r="L93"/>
  <c r="L94"/>
  <c r="L98"/>
  <c r="L102"/>
  <c r="L113"/>
  <c r="L114"/>
  <c r="L116"/>
  <c r="L117"/>
  <c r="L121"/>
  <c r="L126"/>
  <c r="L190" i="29"/>
  <c r="Q190" s="1"/>
  <c r="S190" s="1"/>
  <c r="T202" i="28"/>
  <c r="L202"/>
  <c r="Q202" s="1"/>
  <c r="S202" s="1"/>
  <c r="T177" i="27"/>
  <c r="L177"/>
  <c r="Q177" s="1"/>
  <c r="S177" s="1"/>
  <c r="K136" i="29"/>
  <c r="F136"/>
  <c r="L34"/>
  <c r="Q34" s="1"/>
  <c r="S34" s="1"/>
  <c r="L41"/>
  <c r="Q41" s="1"/>
  <c r="S41" s="1"/>
  <c r="N60"/>
  <c r="P60" s="1"/>
  <c r="R60" s="1"/>
  <c r="L83"/>
  <c r="T83" s="1"/>
  <c r="L95"/>
  <c r="T95" s="1"/>
  <c r="L98"/>
  <c r="T98" s="1"/>
  <c r="L35"/>
  <c r="T35" s="1"/>
  <c r="L40"/>
  <c r="T40" s="1"/>
  <c r="N175"/>
  <c r="L113"/>
  <c r="Q113" s="1"/>
  <c r="S113" s="1"/>
  <c r="L118"/>
  <c r="T118" s="1"/>
  <c r="L121"/>
  <c r="T121" s="1"/>
  <c r="L131"/>
  <c r="L32"/>
  <c r="T32" s="1"/>
  <c r="L33"/>
  <c r="T33" s="1"/>
  <c r="L36"/>
  <c r="Q36" s="1"/>
  <c r="S36" s="1"/>
  <c r="L37"/>
  <c r="T37" s="1"/>
  <c r="L44"/>
  <c r="T44" s="1"/>
  <c r="L60"/>
  <c r="Q60" s="1"/>
  <c r="S60" s="1"/>
  <c r="N83"/>
  <c r="P83" s="1"/>
  <c r="R83" s="1"/>
  <c r="L93"/>
  <c r="L103"/>
  <c r="Q103" s="1"/>
  <c r="S103" s="1"/>
  <c r="L106"/>
  <c r="L115"/>
  <c r="T115" s="1"/>
  <c r="K158"/>
  <c r="L127"/>
  <c r="T127" s="1"/>
  <c r="Q165"/>
  <c r="S165" s="1"/>
  <c r="Q167"/>
  <c r="S167" s="1"/>
  <c r="Q169"/>
  <c r="S169" s="1"/>
  <c r="Q170"/>
  <c r="S170" s="1"/>
  <c r="Q172"/>
  <c r="S172" s="1"/>
  <c r="Q174"/>
  <c r="S174" s="1"/>
  <c r="L127" i="28"/>
  <c r="L132"/>
  <c r="T132" s="1"/>
  <c r="L144"/>
  <c r="L46"/>
  <c r="T46" s="1"/>
  <c r="L53"/>
  <c r="Q53" s="1"/>
  <c r="S53" s="1"/>
  <c r="L58"/>
  <c r="T58" s="1"/>
  <c r="L106"/>
  <c r="L111"/>
  <c r="T111" s="1"/>
  <c r="L119"/>
  <c r="L15"/>
  <c r="T4"/>
  <c r="T15" s="1"/>
  <c r="L128"/>
  <c r="T128" s="1"/>
  <c r="L134"/>
  <c r="L143"/>
  <c r="Q143" s="1"/>
  <c r="S143" s="1"/>
  <c r="L45"/>
  <c r="Q45" s="1"/>
  <c r="S45" s="1"/>
  <c r="L49"/>
  <c r="Q49" s="1"/>
  <c r="S49" s="1"/>
  <c r="L57"/>
  <c r="Q57" s="1"/>
  <c r="S57" s="1"/>
  <c r="L105"/>
  <c r="Q105" s="1"/>
  <c r="S105" s="1"/>
  <c r="L109"/>
  <c r="Q109" s="1"/>
  <c r="S109" s="1"/>
  <c r="L117"/>
  <c r="Q117" s="1"/>
  <c r="S117" s="1"/>
  <c r="L96"/>
  <c r="T96" s="1"/>
  <c r="L107"/>
  <c r="Q107" s="1"/>
  <c r="S107" s="1"/>
  <c r="L108"/>
  <c r="T108" s="1"/>
  <c r="L112"/>
  <c r="Q112" s="1"/>
  <c r="S112" s="1"/>
  <c r="L116"/>
  <c r="T116" s="1"/>
  <c r="L121"/>
  <c r="T121" s="1"/>
  <c r="L126"/>
  <c r="T126" s="1"/>
  <c r="L130"/>
  <c r="T130" s="1"/>
  <c r="L131"/>
  <c r="T131" s="1"/>
  <c r="L135"/>
  <c r="Q135" s="1"/>
  <c r="S135" s="1"/>
  <c r="L140"/>
  <c r="T140" s="1"/>
  <c r="K158"/>
  <c r="L30"/>
  <c r="T30" s="1"/>
  <c r="L44"/>
  <c r="Q44" s="1"/>
  <c r="S44" s="1"/>
  <c r="L47"/>
  <c r="T47" s="1"/>
  <c r="L48"/>
  <c r="T48" s="1"/>
  <c r="L54"/>
  <c r="T54" s="1"/>
  <c r="L56"/>
  <c r="Q56" s="1"/>
  <c r="S56" s="1"/>
  <c r="L73"/>
  <c r="Q73" s="1"/>
  <c r="S73" s="1"/>
  <c r="F158"/>
  <c r="Q165"/>
  <c r="S165" s="1"/>
  <c r="Q168"/>
  <c r="S168" s="1"/>
  <c r="Q169"/>
  <c r="S169" s="1"/>
  <c r="Q171"/>
  <c r="S171" s="1"/>
  <c r="Q174"/>
  <c r="S174" s="1"/>
  <c r="Q176"/>
  <c r="S176" s="1"/>
  <c r="Q177"/>
  <c r="S177" s="1"/>
  <c r="Q178"/>
  <c r="S178" s="1"/>
  <c r="Q158" i="27"/>
  <c r="S158" s="1"/>
  <c r="Q159"/>
  <c r="S159" s="1"/>
  <c r="Q149"/>
  <c r="S149" s="1"/>
  <c r="Q150"/>
  <c r="S150" s="1"/>
  <c r="Q153"/>
  <c r="S153" s="1"/>
  <c r="Q166" i="29"/>
  <c r="S166" s="1"/>
  <c r="Q168"/>
  <c r="S168" s="1"/>
  <c r="Q171"/>
  <c r="S171" s="1"/>
  <c r="Q173"/>
  <c r="S173" s="1"/>
  <c r="N180" i="28"/>
  <c r="T167"/>
  <c r="T170"/>
  <c r="T173"/>
  <c r="P180"/>
  <c r="R180" s="1"/>
  <c r="T163"/>
  <c r="T164"/>
  <c r="T166"/>
  <c r="T172"/>
  <c r="T175"/>
  <c r="T179"/>
  <c r="P160" i="27"/>
  <c r="R160" s="1"/>
  <c r="T151"/>
  <c r="T152"/>
  <c r="T154"/>
  <c r="T157"/>
  <c r="N160"/>
  <c r="T155"/>
  <c r="T156"/>
  <c r="Q145" i="28"/>
  <c r="S145" s="1"/>
  <c r="Q31"/>
  <c r="S31" s="1"/>
  <c r="T31"/>
  <c r="Q32"/>
  <c r="S32" s="1"/>
  <c r="T32"/>
  <c r="Q33"/>
  <c r="S33" s="1"/>
  <c r="T33"/>
  <c r="Q34"/>
  <c r="S34" s="1"/>
  <c r="T34"/>
  <c r="Q35"/>
  <c r="S35" s="1"/>
  <c r="T35"/>
  <c r="Q36"/>
  <c r="S36" s="1"/>
  <c r="T36"/>
  <c r="Q37"/>
  <c r="S37" s="1"/>
  <c r="T37"/>
  <c r="Q38"/>
  <c r="S38" s="1"/>
  <c r="T38"/>
  <c r="Q39"/>
  <c r="S39" s="1"/>
  <c r="T39"/>
  <c r="Q40"/>
  <c r="S40" s="1"/>
  <c r="T40"/>
  <c r="Q41"/>
  <c r="S41" s="1"/>
  <c r="T41"/>
  <c r="Q42"/>
  <c r="S42" s="1"/>
  <c r="T42"/>
  <c r="Q43"/>
  <c r="S43" s="1"/>
  <c r="T43"/>
  <c r="T44"/>
  <c r="Q55"/>
  <c r="S55" s="1"/>
  <c r="T55"/>
  <c r="Q50"/>
  <c r="S50" s="1"/>
  <c r="T50"/>
  <c r="Q52"/>
  <c r="S52" s="1"/>
  <c r="T52"/>
  <c r="T53"/>
  <c r="Q91"/>
  <c r="S91" s="1"/>
  <c r="T91"/>
  <c r="Q92"/>
  <c r="S92" s="1"/>
  <c r="T92"/>
  <c r="Q93"/>
  <c r="S93" s="1"/>
  <c r="T93"/>
  <c r="Q94"/>
  <c r="S94" s="1"/>
  <c r="T94"/>
  <c r="Q95"/>
  <c r="S95" s="1"/>
  <c r="T95"/>
  <c r="Q113"/>
  <c r="S113" s="1"/>
  <c r="T113"/>
  <c r="Q114"/>
  <c r="S114" s="1"/>
  <c r="T114"/>
  <c r="Q115"/>
  <c r="S115" s="1"/>
  <c r="T115"/>
  <c r="Q122"/>
  <c r="S122" s="1"/>
  <c r="T122"/>
  <c r="Q123"/>
  <c r="S123" s="1"/>
  <c r="T123"/>
  <c r="Q124"/>
  <c r="S124" s="1"/>
  <c r="T124"/>
  <c r="Q125"/>
  <c r="S125" s="1"/>
  <c r="T125"/>
  <c r="Q131"/>
  <c r="S131" s="1"/>
  <c r="Q136"/>
  <c r="S136" s="1"/>
  <c r="T136"/>
  <c r="Q137"/>
  <c r="S137" s="1"/>
  <c r="T137"/>
  <c r="Q138"/>
  <c r="S138" s="1"/>
  <c r="T138"/>
  <c r="Q139"/>
  <c r="S139" s="1"/>
  <c r="T139"/>
  <c r="Q146"/>
  <c r="S146" s="1"/>
  <c r="T146"/>
  <c r="Q147"/>
  <c r="S147" s="1"/>
  <c r="T147"/>
  <c r="K149"/>
  <c r="Q18"/>
  <c r="S18" s="1"/>
  <c r="Q19"/>
  <c r="S19" s="1"/>
  <c r="Q20"/>
  <c r="S20" s="1"/>
  <c r="Q21"/>
  <c r="S21" s="1"/>
  <c r="Q22"/>
  <c r="S22" s="1"/>
  <c r="Q23"/>
  <c r="S23" s="1"/>
  <c r="Q24"/>
  <c r="S24" s="1"/>
  <c r="Q25"/>
  <c r="S25" s="1"/>
  <c r="Q26"/>
  <c r="S26" s="1"/>
  <c r="Q27"/>
  <c r="S27" s="1"/>
  <c r="Q28"/>
  <c r="S28" s="1"/>
  <c r="Q29"/>
  <c r="S29" s="1"/>
  <c r="F149"/>
  <c r="N44"/>
  <c r="P44" s="1"/>
  <c r="R44" s="1"/>
  <c r="N46"/>
  <c r="P46" s="1"/>
  <c r="R46" s="1"/>
  <c r="N48"/>
  <c r="P48" s="1"/>
  <c r="R48" s="1"/>
  <c r="N53"/>
  <c r="P53" s="1"/>
  <c r="R53" s="1"/>
  <c r="N56"/>
  <c r="P56" s="1"/>
  <c r="R56" s="1"/>
  <c r="N58"/>
  <c r="P58" s="1"/>
  <c r="R58" s="1"/>
  <c r="Q59"/>
  <c r="S59" s="1"/>
  <c r="Q60"/>
  <c r="S60" s="1"/>
  <c r="Q61"/>
  <c r="S61" s="1"/>
  <c r="Q62"/>
  <c r="S62" s="1"/>
  <c r="Q63"/>
  <c r="S63" s="1"/>
  <c r="Q64"/>
  <c r="S64" s="1"/>
  <c r="Q65"/>
  <c r="S65" s="1"/>
  <c r="Q66"/>
  <c r="S66" s="1"/>
  <c r="Q67"/>
  <c r="S67" s="1"/>
  <c r="Q68"/>
  <c r="S68" s="1"/>
  <c r="Q69"/>
  <c r="S69" s="1"/>
  <c r="Q70"/>
  <c r="S70" s="1"/>
  <c r="Q71"/>
  <c r="S71" s="1"/>
  <c r="Q72"/>
  <c r="S72" s="1"/>
  <c r="N73"/>
  <c r="P73" s="1"/>
  <c r="R73" s="1"/>
  <c r="Q74"/>
  <c r="S74" s="1"/>
  <c r="Q75"/>
  <c r="S75" s="1"/>
  <c r="Q76"/>
  <c r="S76" s="1"/>
  <c r="Q77"/>
  <c r="S77" s="1"/>
  <c r="Q78"/>
  <c r="S78" s="1"/>
  <c r="Q79"/>
  <c r="S79" s="1"/>
  <c r="Q80"/>
  <c r="S80" s="1"/>
  <c r="Q81"/>
  <c r="S81" s="1"/>
  <c r="Q82"/>
  <c r="S82" s="1"/>
  <c r="Q83"/>
  <c r="S83" s="1"/>
  <c r="Q84"/>
  <c r="S84" s="1"/>
  <c r="Q85"/>
  <c r="S85" s="1"/>
  <c r="Q86"/>
  <c r="S86" s="1"/>
  <c r="Q87"/>
  <c r="S87" s="1"/>
  <c r="Q88"/>
  <c r="S88" s="1"/>
  <c r="Q89"/>
  <c r="S89" s="1"/>
  <c r="Q90"/>
  <c r="S90" s="1"/>
  <c r="T106"/>
  <c r="Q106"/>
  <c r="S106" s="1"/>
  <c r="T109"/>
  <c r="Q110"/>
  <c r="S110" s="1"/>
  <c r="T110"/>
  <c r="Q118"/>
  <c r="S118" s="1"/>
  <c r="T118"/>
  <c r="T119"/>
  <c r="Q119"/>
  <c r="S119" s="1"/>
  <c r="Q127"/>
  <c r="S127" s="1"/>
  <c r="T127"/>
  <c r="Q133"/>
  <c r="S133" s="1"/>
  <c r="T133"/>
  <c r="T134"/>
  <c r="Q134"/>
  <c r="S134" s="1"/>
  <c r="T143"/>
  <c r="T144"/>
  <c r="Q144"/>
  <c r="S144" s="1"/>
  <c r="T17"/>
  <c r="N96"/>
  <c r="P96" s="1"/>
  <c r="R96" s="1"/>
  <c r="Q97"/>
  <c r="S97" s="1"/>
  <c r="Q98"/>
  <c r="S98" s="1"/>
  <c r="Q99"/>
  <c r="S99" s="1"/>
  <c r="Q100"/>
  <c r="S100" s="1"/>
  <c r="Q101"/>
  <c r="S101" s="1"/>
  <c r="Q102"/>
  <c r="S102" s="1"/>
  <c r="Q103"/>
  <c r="S103" s="1"/>
  <c r="Q104"/>
  <c r="S104" s="1"/>
  <c r="N106"/>
  <c r="P106" s="1"/>
  <c r="R106" s="1"/>
  <c r="N108"/>
  <c r="P108" s="1"/>
  <c r="R108" s="1"/>
  <c r="N111"/>
  <c r="P111" s="1"/>
  <c r="R111" s="1"/>
  <c r="N116"/>
  <c r="P116" s="1"/>
  <c r="R116" s="1"/>
  <c r="N119"/>
  <c r="P119" s="1"/>
  <c r="R119" s="1"/>
  <c r="Q120"/>
  <c r="S120" s="1"/>
  <c r="N126"/>
  <c r="P126" s="1"/>
  <c r="R126" s="1"/>
  <c r="N128"/>
  <c r="P128" s="1"/>
  <c r="R128" s="1"/>
  <c r="Q129"/>
  <c r="S129" s="1"/>
  <c r="N131"/>
  <c r="P131" s="1"/>
  <c r="R131" s="1"/>
  <c r="N134"/>
  <c r="P134" s="1"/>
  <c r="R134" s="1"/>
  <c r="N140"/>
  <c r="P140" s="1"/>
  <c r="R140" s="1"/>
  <c r="Q141"/>
  <c r="S141" s="1"/>
  <c r="Q142"/>
  <c r="S142" s="1"/>
  <c r="N144"/>
  <c r="P144" s="1"/>
  <c r="R144" s="1"/>
  <c r="Q131" i="30"/>
  <c r="S131" s="1"/>
  <c r="Q6"/>
  <c r="S6" s="1"/>
  <c r="T6"/>
  <c r="T7"/>
  <c r="Q7"/>
  <c r="S7" s="1"/>
  <c r="T9"/>
  <c r="Q9"/>
  <c r="S9" s="1"/>
  <c r="T11"/>
  <c r="Q11"/>
  <c r="S11" s="1"/>
  <c r="T13"/>
  <c r="Q13"/>
  <c r="S13" s="1"/>
  <c r="T14"/>
  <c r="Q14"/>
  <c r="S14" s="1"/>
  <c r="T16"/>
  <c r="Q16"/>
  <c r="S16" s="1"/>
  <c r="T34"/>
  <c r="Q34"/>
  <c r="S34" s="1"/>
  <c r="T40"/>
  <c r="Q40"/>
  <c r="S40" s="1"/>
  <c r="Q45"/>
  <c r="S45" s="1"/>
  <c r="T45"/>
  <c r="Q47"/>
  <c r="S47" s="1"/>
  <c r="T47"/>
  <c r="Q49"/>
  <c r="S49" s="1"/>
  <c r="T49"/>
  <c r="Q50"/>
  <c r="S50" s="1"/>
  <c r="T50"/>
  <c r="Q52"/>
  <c r="S52" s="1"/>
  <c r="T52"/>
  <c r="Q53"/>
  <c r="S53" s="1"/>
  <c r="T53"/>
  <c r="Q54"/>
  <c r="S54" s="1"/>
  <c r="T54"/>
  <c r="Q55"/>
  <c r="S55" s="1"/>
  <c r="T55"/>
  <c r="Q56"/>
  <c r="S56" s="1"/>
  <c r="T56"/>
  <c r="Q58"/>
  <c r="S58" s="1"/>
  <c r="T58"/>
  <c r="Q59"/>
  <c r="S59" s="1"/>
  <c r="T59"/>
  <c r="Q31"/>
  <c r="S31" s="1"/>
  <c r="T31"/>
  <c r="T32"/>
  <c r="Q32"/>
  <c r="S32" s="1"/>
  <c r="Q35"/>
  <c r="S35" s="1"/>
  <c r="T35"/>
  <c r="T36"/>
  <c r="Q36"/>
  <c r="S36" s="1"/>
  <c r="Q42"/>
  <c r="S42" s="1"/>
  <c r="T42"/>
  <c r="T43"/>
  <c r="Q43"/>
  <c r="S43" s="1"/>
  <c r="Q60"/>
  <c r="S60" s="1"/>
  <c r="T60"/>
  <c r="Q61"/>
  <c r="S61" s="1"/>
  <c r="T61"/>
  <c r="T62"/>
  <c r="Q62"/>
  <c r="S62" s="1"/>
  <c r="T5"/>
  <c r="Q5"/>
  <c r="S5" s="1"/>
  <c r="T8"/>
  <c r="Q8"/>
  <c r="S8" s="1"/>
  <c r="T10"/>
  <c r="Q10"/>
  <c r="S10" s="1"/>
  <c r="T12"/>
  <c r="Q12"/>
  <c r="S12" s="1"/>
  <c r="T15"/>
  <c r="Q15"/>
  <c r="S15" s="1"/>
  <c r="Q33"/>
  <c r="S33" s="1"/>
  <c r="T33"/>
  <c r="Q39"/>
  <c r="S39" s="1"/>
  <c r="T39"/>
  <c r="Q44"/>
  <c r="S44" s="1"/>
  <c r="T44"/>
  <c r="Q46"/>
  <c r="S46" s="1"/>
  <c r="T46"/>
  <c r="Q48"/>
  <c r="S48" s="1"/>
  <c r="T48"/>
  <c r="Q51"/>
  <c r="S51" s="1"/>
  <c r="T51"/>
  <c r="Q57"/>
  <c r="S57" s="1"/>
  <c r="T57"/>
  <c r="T82"/>
  <c r="Q82"/>
  <c r="S82" s="1"/>
  <c r="Q93"/>
  <c r="S93" s="1"/>
  <c r="T93"/>
  <c r="T94"/>
  <c r="Q94"/>
  <c r="S94" s="1"/>
  <c r="Q98"/>
  <c r="S98" s="1"/>
  <c r="T98"/>
  <c r="Q99"/>
  <c r="S99" s="1"/>
  <c r="T99"/>
  <c r="Q100"/>
  <c r="S100" s="1"/>
  <c r="T100"/>
  <c r="Q101"/>
  <c r="S101" s="1"/>
  <c r="T101"/>
  <c r="T102"/>
  <c r="Q102"/>
  <c r="S102" s="1"/>
  <c r="Q107"/>
  <c r="S107" s="1"/>
  <c r="T107"/>
  <c r="Q108"/>
  <c r="S108" s="1"/>
  <c r="T108"/>
  <c r="Q109"/>
  <c r="S109" s="1"/>
  <c r="T109"/>
  <c r="Q110"/>
  <c r="S110" s="1"/>
  <c r="T110"/>
  <c r="Q111"/>
  <c r="S111" s="1"/>
  <c r="T111"/>
  <c r="T112"/>
  <c r="Q112"/>
  <c r="S112" s="1"/>
  <c r="Q116"/>
  <c r="S116" s="1"/>
  <c r="T116"/>
  <c r="T117"/>
  <c r="Q117"/>
  <c r="S117" s="1"/>
  <c r="Q121"/>
  <c r="S121" s="1"/>
  <c r="T121"/>
  <c r="Q122"/>
  <c r="S122" s="1"/>
  <c r="T122"/>
  <c r="Q123"/>
  <c r="S123" s="1"/>
  <c r="T123"/>
  <c r="Q124"/>
  <c r="S124" s="1"/>
  <c r="T124"/>
  <c r="Q125"/>
  <c r="S125" s="1"/>
  <c r="T125"/>
  <c r="T126"/>
  <c r="Q126"/>
  <c r="S126" s="1"/>
  <c r="Q132"/>
  <c r="S132" s="1"/>
  <c r="T132"/>
  <c r="Q133"/>
  <c r="S133" s="1"/>
  <c r="T133"/>
  <c r="L17"/>
  <c r="T19"/>
  <c r="T21"/>
  <c r="T24"/>
  <c r="T26"/>
  <c r="T28"/>
  <c r="L4"/>
  <c r="L135" s="1"/>
  <c r="Q135" s="1"/>
  <c r="P4"/>
  <c r="N17"/>
  <c r="P17" s="1"/>
  <c r="R17" s="1"/>
  <c r="Q18"/>
  <c r="S18" s="1"/>
  <c r="Q20"/>
  <c r="S20" s="1"/>
  <c r="Q22"/>
  <c r="S22" s="1"/>
  <c r="Q23"/>
  <c r="S23" s="1"/>
  <c r="Q25"/>
  <c r="S25" s="1"/>
  <c r="Q27"/>
  <c r="S27" s="1"/>
  <c r="Q29"/>
  <c r="S29" s="1"/>
  <c r="Q30"/>
  <c r="S30" s="1"/>
  <c r="N32"/>
  <c r="P32" s="1"/>
  <c r="R32" s="1"/>
  <c r="N34"/>
  <c r="P34" s="1"/>
  <c r="R34" s="1"/>
  <c r="N36"/>
  <c r="P36" s="1"/>
  <c r="R36" s="1"/>
  <c r="Q37"/>
  <c r="S37" s="1"/>
  <c r="Q38"/>
  <c r="S38" s="1"/>
  <c r="N40"/>
  <c r="P40" s="1"/>
  <c r="R40" s="1"/>
  <c r="Q41"/>
  <c r="S41" s="1"/>
  <c r="N43"/>
  <c r="P43" s="1"/>
  <c r="R43" s="1"/>
  <c r="Q91"/>
  <c r="S91" s="1"/>
  <c r="T91"/>
  <c r="T92"/>
  <c r="Q92"/>
  <c r="S92" s="1"/>
  <c r="Q95"/>
  <c r="S95" s="1"/>
  <c r="T95"/>
  <c r="Q96"/>
  <c r="S96" s="1"/>
  <c r="T96"/>
  <c r="T97"/>
  <c r="Q97"/>
  <c r="S97" s="1"/>
  <c r="Q103"/>
  <c r="S103" s="1"/>
  <c r="T103"/>
  <c r="Q104"/>
  <c r="S104" s="1"/>
  <c r="T104"/>
  <c r="T105"/>
  <c r="Q105"/>
  <c r="S105" s="1"/>
  <c r="Q113"/>
  <c r="S113" s="1"/>
  <c r="T113"/>
  <c r="T114"/>
  <c r="Q114"/>
  <c r="S114" s="1"/>
  <c r="Q118"/>
  <c r="S118" s="1"/>
  <c r="T118"/>
  <c r="Q119"/>
  <c r="S119" s="1"/>
  <c r="T119"/>
  <c r="T120"/>
  <c r="Q120"/>
  <c r="S120" s="1"/>
  <c r="Q129"/>
  <c r="S129" s="1"/>
  <c r="T129"/>
  <c r="T130"/>
  <c r="Q130"/>
  <c r="S130" s="1"/>
  <c r="N59"/>
  <c r="P59" s="1"/>
  <c r="R59" s="1"/>
  <c r="Q63"/>
  <c r="S63" s="1"/>
  <c r="Q64"/>
  <c r="S64" s="1"/>
  <c r="Q65"/>
  <c r="S65" s="1"/>
  <c r="Q66"/>
  <c r="S66" s="1"/>
  <c r="Q67"/>
  <c r="S67" s="1"/>
  <c r="Q68"/>
  <c r="S68" s="1"/>
  <c r="Q69"/>
  <c r="S69" s="1"/>
  <c r="Q70"/>
  <c r="S70" s="1"/>
  <c r="Q71"/>
  <c r="S71" s="1"/>
  <c r="Q72"/>
  <c r="S72" s="1"/>
  <c r="Q73"/>
  <c r="S73" s="1"/>
  <c r="Q74"/>
  <c r="S74" s="1"/>
  <c r="Q75"/>
  <c r="S75" s="1"/>
  <c r="Q76"/>
  <c r="S76" s="1"/>
  <c r="Q77"/>
  <c r="S77" s="1"/>
  <c r="Q78"/>
  <c r="S78" s="1"/>
  <c r="Q79"/>
  <c r="S79" s="1"/>
  <c r="Q80"/>
  <c r="S80" s="1"/>
  <c r="Q81"/>
  <c r="S81" s="1"/>
  <c r="N82"/>
  <c r="P82" s="1"/>
  <c r="R82" s="1"/>
  <c r="Q83"/>
  <c r="S83" s="1"/>
  <c r="Q84"/>
  <c r="S84" s="1"/>
  <c r="Q85"/>
  <c r="S85" s="1"/>
  <c r="Q86"/>
  <c r="S86" s="1"/>
  <c r="Q87"/>
  <c r="S87" s="1"/>
  <c r="Q88"/>
  <c r="S88" s="1"/>
  <c r="Q89"/>
  <c r="S89" s="1"/>
  <c r="Q90"/>
  <c r="S90" s="1"/>
  <c r="N92"/>
  <c r="P92" s="1"/>
  <c r="R92" s="1"/>
  <c r="N94"/>
  <c r="P94" s="1"/>
  <c r="R94" s="1"/>
  <c r="N97"/>
  <c r="P97" s="1"/>
  <c r="R97" s="1"/>
  <c r="N102"/>
  <c r="P102" s="1"/>
  <c r="R102" s="1"/>
  <c r="N105"/>
  <c r="P105" s="1"/>
  <c r="R105" s="1"/>
  <c r="Q106"/>
  <c r="S106" s="1"/>
  <c r="N112"/>
  <c r="P112" s="1"/>
  <c r="R112" s="1"/>
  <c r="N114"/>
  <c r="P114" s="1"/>
  <c r="R114" s="1"/>
  <c r="Q115"/>
  <c r="S115" s="1"/>
  <c r="N117"/>
  <c r="P117" s="1"/>
  <c r="R117" s="1"/>
  <c r="N120"/>
  <c r="P120" s="1"/>
  <c r="R120" s="1"/>
  <c r="N126"/>
  <c r="P126" s="1"/>
  <c r="R126" s="1"/>
  <c r="Q127"/>
  <c r="S127" s="1"/>
  <c r="Q128"/>
  <c r="S128" s="1"/>
  <c r="N130"/>
  <c r="P130" s="1"/>
  <c r="R130" s="1"/>
  <c r="Q32" i="29"/>
  <c r="S32" s="1"/>
  <c r="Q33"/>
  <c r="S33" s="1"/>
  <c r="Q37"/>
  <c r="S37" s="1"/>
  <c r="T5"/>
  <c r="Q5"/>
  <c r="S5" s="1"/>
  <c r="T6"/>
  <c r="Q6"/>
  <c r="S6" s="1"/>
  <c r="T7"/>
  <c r="Q7"/>
  <c r="S7" s="1"/>
  <c r="Q8"/>
  <c r="S8" s="1"/>
  <c r="T8"/>
  <c r="Q9"/>
  <c r="S9" s="1"/>
  <c r="T9"/>
  <c r="T10"/>
  <c r="Q10"/>
  <c r="S10" s="1"/>
  <c r="T11"/>
  <c r="Q11"/>
  <c r="S11" s="1"/>
  <c r="T12"/>
  <c r="Q12"/>
  <c r="S12" s="1"/>
  <c r="Q13"/>
  <c r="S13" s="1"/>
  <c r="T13"/>
  <c r="T15"/>
  <c r="Q15"/>
  <c r="S15" s="1"/>
  <c r="T16"/>
  <c r="Q16"/>
  <c r="S16" s="1"/>
  <c r="T17"/>
  <c r="Q17"/>
  <c r="S17" s="1"/>
  <c r="T34"/>
  <c r="Q35"/>
  <c r="S35" s="1"/>
  <c r="T41"/>
  <c r="T60"/>
  <c r="T89"/>
  <c r="Q89"/>
  <c r="S89" s="1"/>
  <c r="T90"/>
  <c r="Q90"/>
  <c r="S90" s="1"/>
  <c r="T91"/>
  <c r="Q91"/>
  <c r="S91" s="1"/>
  <c r="Q95"/>
  <c r="S95" s="1"/>
  <c r="Q118"/>
  <c r="S118" s="1"/>
  <c r="T128"/>
  <c r="Q128"/>
  <c r="S128" s="1"/>
  <c r="T129"/>
  <c r="Q129"/>
  <c r="S129" s="1"/>
  <c r="L4"/>
  <c r="N18"/>
  <c r="P18" s="1"/>
  <c r="R18" s="1"/>
  <c r="Q19"/>
  <c r="S19" s="1"/>
  <c r="Q20"/>
  <c r="S20" s="1"/>
  <c r="Q21"/>
  <c r="S21" s="1"/>
  <c r="Q22"/>
  <c r="S22" s="1"/>
  <c r="Q23"/>
  <c r="S23" s="1"/>
  <c r="Q24"/>
  <c r="S24" s="1"/>
  <c r="Q25"/>
  <c r="S25" s="1"/>
  <c r="Q26"/>
  <c r="S26" s="1"/>
  <c r="Q27"/>
  <c r="S27" s="1"/>
  <c r="Q28"/>
  <c r="S28" s="1"/>
  <c r="Q29"/>
  <c r="S29" s="1"/>
  <c r="Q30"/>
  <c r="S30" s="1"/>
  <c r="Q31"/>
  <c r="S31" s="1"/>
  <c r="N33"/>
  <c r="P33" s="1"/>
  <c r="R33" s="1"/>
  <c r="N35"/>
  <c r="P35" s="1"/>
  <c r="R35" s="1"/>
  <c r="N37"/>
  <c r="P37" s="1"/>
  <c r="R37" s="1"/>
  <c r="Q38"/>
  <c r="S38" s="1"/>
  <c r="Q39"/>
  <c r="S39" s="1"/>
  <c r="N41"/>
  <c r="P41" s="1"/>
  <c r="R41" s="1"/>
  <c r="Q42"/>
  <c r="S42" s="1"/>
  <c r="L45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Q84"/>
  <c r="S84" s="1"/>
  <c r="Q85"/>
  <c r="S85" s="1"/>
  <c r="Q86"/>
  <c r="S86" s="1"/>
  <c r="Q87"/>
  <c r="S87" s="1"/>
  <c r="Q88"/>
  <c r="S88" s="1"/>
  <c r="T93"/>
  <c r="Q93"/>
  <c r="S93" s="1"/>
  <c r="Q98"/>
  <c r="S98" s="1"/>
  <c r="T106"/>
  <c r="Q106"/>
  <c r="S106" s="1"/>
  <c r="T107"/>
  <c r="Q107"/>
  <c r="S107" s="1"/>
  <c r="T116"/>
  <c r="Q116"/>
  <c r="S116" s="1"/>
  <c r="Q121"/>
  <c r="S121" s="1"/>
  <c r="T131"/>
  <c r="Q131"/>
  <c r="S131" s="1"/>
  <c r="L18"/>
  <c r="L43"/>
  <c r="T46"/>
  <c r="T47"/>
  <c r="T48"/>
  <c r="T49"/>
  <c r="T50"/>
  <c r="T51"/>
  <c r="T52"/>
  <c r="T53"/>
  <c r="T54"/>
  <c r="T55"/>
  <c r="T56"/>
  <c r="T57"/>
  <c r="T58"/>
  <c r="T59"/>
  <c r="L92"/>
  <c r="L94"/>
  <c r="L96"/>
  <c r="T97"/>
  <c r="L99"/>
  <c r="T100"/>
  <c r="T101"/>
  <c r="T102"/>
  <c r="L104"/>
  <c r="T105"/>
  <c r="L108"/>
  <c r="T109"/>
  <c r="T110"/>
  <c r="T111"/>
  <c r="T112"/>
  <c r="L114"/>
  <c r="L117"/>
  <c r="L119"/>
  <c r="T120"/>
  <c r="L122"/>
  <c r="T123"/>
  <c r="T124"/>
  <c r="T125"/>
  <c r="T126"/>
  <c r="L130"/>
  <c r="T132"/>
  <c r="T133"/>
  <c r="T134"/>
  <c r="E136"/>
  <c r="O136" i="27"/>
  <c r="M136"/>
  <c r="J136"/>
  <c r="I136"/>
  <c r="H136"/>
  <c r="G136"/>
  <c r="D136"/>
  <c r="C136"/>
  <c r="B136"/>
  <c r="S135"/>
  <c r="N135"/>
  <c r="P135" s="1"/>
  <c r="R135" s="1"/>
  <c r="L135"/>
  <c r="T135" s="1"/>
  <c r="N134"/>
  <c r="P134" s="1"/>
  <c r="R134" s="1"/>
  <c r="K134"/>
  <c r="L134" s="1"/>
  <c r="Q134" s="1"/>
  <c r="S134" s="1"/>
  <c r="N133"/>
  <c r="P133" s="1"/>
  <c r="R133" s="1"/>
  <c r="K133"/>
  <c r="L133" s="1"/>
  <c r="Q133" s="1"/>
  <c r="S133" s="1"/>
  <c r="N132"/>
  <c r="P132" s="1"/>
  <c r="R132" s="1"/>
  <c r="L132"/>
  <c r="Q132" s="1"/>
  <c r="S132" s="1"/>
  <c r="K131"/>
  <c r="F131"/>
  <c r="N131" s="1"/>
  <c r="P131" s="1"/>
  <c r="R131" s="1"/>
  <c r="K130"/>
  <c r="F130"/>
  <c r="N130" s="1"/>
  <c r="P130" s="1"/>
  <c r="R130" s="1"/>
  <c r="N129"/>
  <c r="P129" s="1"/>
  <c r="R129" s="1"/>
  <c r="K129"/>
  <c r="L129" s="1"/>
  <c r="T129" s="1"/>
  <c r="N128"/>
  <c r="P128" s="1"/>
  <c r="R128" s="1"/>
  <c r="K128"/>
  <c r="L128" s="1"/>
  <c r="T128" s="1"/>
  <c r="K127"/>
  <c r="F127"/>
  <c r="N127" s="1"/>
  <c r="P127" s="1"/>
  <c r="R127" s="1"/>
  <c r="N126"/>
  <c r="P126" s="1"/>
  <c r="R126" s="1"/>
  <c r="K126"/>
  <c r="L126" s="1"/>
  <c r="Q126" s="1"/>
  <c r="S126" s="1"/>
  <c r="N125"/>
  <c r="P125" s="1"/>
  <c r="R125" s="1"/>
  <c r="K125"/>
  <c r="L125" s="1"/>
  <c r="Q125" s="1"/>
  <c r="S125" s="1"/>
  <c r="N124"/>
  <c r="P124" s="1"/>
  <c r="R124" s="1"/>
  <c r="K124"/>
  <c r="L124" s="1"/>
  <c r="Q124" s="1"/>
  <c r="S124" s="1"/>
  <c r="N123"/>
  <c r="P123" s="1"/>
  <c r="R123" s="1"/>
  <c r="K123"/>
  <c r="L123" s="1"/>
  <c r="Q123" s="1"/>
  <c r="S123" s="1"/>
  <c r="K122"/>
  <c r="F122"/>
  <c r="N122" s="1"/>
  <c r="P122" s="1"/>
  <c r="R122" s="1"/>
  <c r="K121"/>
  <c r="F121"/>
  <c r="N121" s="1"/>
  <c r="P121" s="1"/>
  <c r="R121" s="1"/>
  <c r="N120"/>
  <c r="P120" s="1"/>
  <c r="R120" s="1"/>
  <c r="K120"/>
  <c r="L120" s="1"/>
  <c r="Q120" s="1"/>
  <c r="S120" s="1"/>
  <c r="K119"/>
  <c r="F119"/>
  <c r="N119" s="1"/>
  <c r="P119" s="1"/>
  <c r="R119" s="1"/>
  <c r="K118"/>
  <c r="F118"/>
  <c r="N118" s="1"/>
  <c r="P118" s="1"/>
  <c r="R118" s="1"/>
  <c r="K117"/>
  <c r="F117"/>
  <c r="N117" s="1"/>
  <c r="P117" s="1"/>
  <c r="R117" s="1"/>
  <c r="N116"/>
  <c r="P116" s="1"/>
  <c r="R116" s="1"/>
  <c r="K116"/>
  <c r="L116" s="1"/>
  <c r="T116" s="1"/>
  <c r="K115"/>
  <c r="F115"/>
  <c r="N115" s="1"/>
  <c r="P115" s="1"/>
  <c r="R115" s="1"/>
  <c r="K114"/>
  <c r="F114"/>
  <c r="N114" s="1"/>
  <c r="P114" s="1"/>
  <c r="R114" s="1"/>
  <c r="K113"/>
  <c r="F113"/>
  <c r="N113" s="1"/>
  <c r="P113" s="1"/>
  <c r="R113" s="1"/>
  <c r="N112"/>
  <c r="P112" s="1"/>
  <c r="R112" s="1"/>
  <c r="K112"/>
  <c r="L112" s="1"/>
  <c r="Q112" s="1"/>
  <c r="S112" s="1"/>
  <c r="N111"/>
  <c r="P111" s="1"/>
  <c r="R111" s="1"/>
  <c r="K111"/>
  <c r="L111" s="1"/>
  <c r="Q111" s="1"/>
  <c r="S111" s="1"/>
  <c r="N110"/>
  <c r="P110" s="1"/>
  <c r="R110" s="1"/>
  <c r="K110"/>
  <c r="L110" s="1"/>
  <c r="Q110" s="1"/>
  <c r="S110" s="1"/>
  <c r="N109"/>
  <c r="P109" s="1"/>
  <c r="R109" s="1"/>
  <c r="K109"/>
  <c r="L109" s="1"/>
  <c r="Q109" s="1"/>
  <c r="S109" s="1"/>
  <c r="K108"/>
  <c r="F108"/>
  <c r="N108" s="1"/>
  <c r="P108" s="1"/>
  <c r="R108" s="1"/>
  <c r="N107"/>
  <c r="P107" s="1"/>
  <c r="R107" s="1"/>
  <c r="K107"/>
  <c r="L107" s="1"/>
  <c r="T107" s="1"/>
  <c r="K106"/>
  <c r="F106"/>
  <c r="N106" s="1"/>
  <c r="P106" s="1"/>
  <c r="R106" s="1"/>
  <c r="N105"/>
  <c r="P105" s="1"/>
  <c r="R105" s="1"/>
  <c r="K105"/>
  <c r="L105" s="1"/>
  <c r="Q105" s="1"/>
  <c r="S105" s="1"/>
  <c r="K104"/>
  <c r="F104"/>
  <c r="N104" s="1"/>
  <c r="P104" s="1"/>
  <c r="R104" s="1"/>
  <c r="K103"/>
  <c r="F103"/>
  <c r="N103" s="1"/>
  <c r="P103" s="1"/>
  <c r="R103" s="1"/>
  <c r="N102"/>
  <c r="P102" s="1"/>
  <c r="R102" s="1"/>
  <c r="K102"/>
  <c r="L102" s="1"/>
  <c r="Q102" s="1"/>
  <c r="S102" s="1"/>
  <c r="N101"/>
  <c r="P101" s="1"/>
  <c r="R101" s="1"/>
  <c r="K101"/>
  <c r="L101" s="1"/>
  <c r="Q101" s="1"/>
  <c r="S101" s="1"/>
  <c r="N100"/>
  <c r="P100" s="1"/>
  <c r="R100" s="1"/>
  <c r="K100"/>
  <c r="L100" s="1"/>
  <c r="Q100" s="1"/>
  <c r="S100" s="1"/>
  <c r="K99"/>
  <c r="F99"/>
  <c r="K98"/>
  <c r="F98"/>
  <c r="N98" s="1"/>
  <c r="P98" s="1"/>
  <c r="R98" s="1"/>
  <c r="N97"/>
  <c r="P97" s="1"/>
  <c r="R97" s="1"/>
  <c r="K97"/>
  <c r="L97" s="1"/>
  <c r="Q97" s="1"/>
  <c r="S97" s="1"/>
  <c r="K96"/>
  <c r="F96"/>
  <c r="N96" s="1"/>
  <c r="P96" s="1"/>
  <c r="R96" s="1"/>
  <c r="K95"/>
  <c r="F95"/>
  <c r="N95" s="1"/>
  <c r="P95" s="1"/>
  <c r="R95" s="1"/>
  <c r="K94"/>
  <c r="F94"/>
  <c r="N94" s="1"/>
  <c r="P94" s="1"/>
  <c r="R94" s="1"/>
  <c r="K93"/>
  <c r="F93"/>
  <c r="N93" s="1"/>
  <c r="P93" s="1"/>
  <c r="R93" s="1"/>
  <c r="K92"/>
  <c r="F92"/>
  <c r="N92" s="1"/>
  <c r="P92" s="1"/>
  <c r="R92" s="1"/>
  <c r="N91"/>
  <c r="P91" s="1"/>
  <c r="R91" s="1"/>
  <c r="K91"/>
  <c r="L91" s="1"/>
  <c r="T91" s="1"/>
  <c r="N90"/>
  <c r="P90" s="1"/>
  <c r="R90" s="1"/>
  <c r="K90"/>
  <c r="L90" s="1"/>
  <c r="T90" s="1"/>
  <c r="N89"/>
  <c r="P89" s="1"/>
  <c r="R89" s="1"/>
  <c r="K89"/>
  <c r="L89" s="1"/>
  <c r="T89" s="1"/>
  <c r="N88"/>
  <c r="P88" s="1"/>
  <c r="R88" s="1"/>
  <c r="K88"/>
  <c r="L88" s="1"/>
  <c r="T88" s="1"/>
  <c r="N87"/>
  <c r="P87" s="1"/>
  <c r="R87" s="1"/>
  <c r="K87"/>
  <c r="L87" s="1"/>
  <c r="T87" s="1"/>
  <c r="N86"/>
  <c r="P86" s="1"/>
  <c r="R86" s="1"/>
  <c r="K86"/>
  <c r="L86" s="1"/>
  <c r="T86" s="1"/>
  <c r="N85"/>
  <c r="P85" s="1"/>
  <c r="R85" s="1"/>
  <c r="K85"/>
  <c r="L85" s="1"/>
  <c r="T85" s="1"/>
  <c r="N84"/>
  <c r="P84" s="1"/>
  <c r="R84" s="1"/>
  <c r="K84"/>
  <c r="L84" s="1"/>
  <c r="T84" s="1"/>
  <c r="K83"/>
  <c r="F83"/>
  <c r="N83" s="1"/>
  <c r="P83" s="1"/>
  <c r="R83" s="1"/>
  <c r="N82"/>
  <c r="P82" s="1"/>
  <c r="R82" s="1"/>
  <c r="K82"/>
  <c r="L82" s="1"/>
  <c r="Q82" s="1"/>
  <c r="S82" s="1"/>
  <c r="N81"/>
  <c r="P81" s="1"/>
  <c r="R81" s="1"/>
  <c r="K81"/>
  <c r="L81" s="1"/>
  <c r="Q81" s="1"/>
  <c r="S81" s="1"/>
  <c r="N80"/>
  <c r="P80" s="1"/>
  <c r="R80" s="1"/>
  <c r="K80"/>
  <c r="L80" s="1"/>
  <c r="Q80" s="1"/>
  <c r="S80" s="1"/>
  <c r="N79"/>
  <c r="P79" s="1"/>
  <c r="R79" s="1"/>
  <c r="K79"/>
  <c r="L79" s="1"/>
  <c r="Q79" s="1"/>
  <c r="S79" s="1"/>
  <c r="N78"/>
  <c r="P78" s="1"/>
  <c r="R78" s="1"/>
  <c r="K78"/>
  <c r="L78" s="1"/>
  <c r="Q78" s="1"/>
  <c r="S78" s="1"/>
  <c r="N77"/>
  <c r="P77" s="1"/>
  <c r="R77" s="1"/>
  <c r="K77"/>
  <c r="L77" s="1"/>
  <c r="Q77" s="1"/>
  <c r="S77" s="1"/>
  <c r="N76"/>
  <c r="P76" s="1"/>
  <c r="R76" s="1"/>
  <c r="K76"/>
  <c r="L76" s="1"/>
  <c r="Q76" s="1"/>
  <c r="S76" s="1"/>
  <c r="N75"/>
  <c r="P75" s="1"/>
  <c r="R75" s="1"/>
  <c r="K75"/>
  <c r="L75" s="1"/>
  <c r="Q75" s="1"/>
  <c r="S75" s="1"/>
  <c r="N74"/>
  <c r="P74" s="1"/>
  <c r="R74" s="1"/>
  <c r="K74"/>
  <c r="L74" s="1"/>
  <c r="Q74" s="1"/>
  <c r="S74" s="1"/>
  <c r="N73"/>
  <c r="P73" s="1"/>
  <c r="R73" s="1"/>
  <c r="K73"/>
  <c r="L73" s="1"/>
  <c r="Q73" s="1"/>
  <c r="S73" s="1"/>
  <c r="N72"/>
  <c r="P72" s="1"/>
  <c r="R72" s="1"/>
  <c r="K72"/>
  <c r="L72" s="1"/>
  <c r="Q72" s="1"/>
  <c r="S72" s="1"/>
  <c r="N71"/>
  <c r="P71" s="1"/>
  <c r="R71" s="1"/>
  <c r="K71"/>
  <c r="L71" s="1"/>
  <c r="Q71" s="1"/>
  <c r="S71" s="1"/>
  <c r="N70"/>
  <c r="P70" s="1"/>
  <c r="R70" s="1"/>
  <c r="K70"/>
  <c r="L70" s="1"/>
  <c r="Q70" s="1"/>
  <c r="S70" s="1"/>
  <c r="N69"/>
  <c r="P69" s="1"/>
  <c r="R69" s="1"/>
  <c r="K69"/>
  <c r="L69" s="1"/>
  <c r="Q69" s="1"/>
  <c r="S69" s="1"/>
  <c r="N68"/>
  <c r="P68" s="1"/>
  <c r="R68" s="1"/>
  <c r="K68"/>
  <c r="L68" s="1"/>
  <c r="Q68" s="1"/>
  <c r="S68" s="1"/>
  <c r="N67"/>
  <c r="P67" s="1"/>
  <c r="R67" s="1"/>
  <c r="K67"/>
  <c r="L67" s="1"/>
  <c r="Q67" s="1"/>
  <c r="S67" s="1"/>
  <c r="N66"/>
  <c r="P66" s="1"/>
  <c r="R66" s="1"/>
  <c r="K66"/>
  <c r="L66" s="1"/>
  <c r="Q66" s="1"/>
  <c r="S66" s="1"/>
  <c r="N65"/>
  <c r="P65" s="1"/>
  <c r="R65" s="1"/>
  <c r="K65"/>
  <c r="L65" s="1"/>
  <c r="Q65" s="1"/>
  <c r="S65" s="1"/>
  <c r="N64"/>
  <c r="P64" s="1"/>
  <c r="R64" s="1"/>
  <c r="K64"/>
  <c r="L64" s="1"/>
  <c r="Q64" s="1"/>
  <c r="S64" s="1"/>
  <c r="N63"/>
  <c r="P63" s="1"/>
  <c r="R63" s="1"/>
  <c r="K63"/>
  <c r="L63" s="1"/>
  <c r="Q63" s="1"/>
  <c r="S63" s="1"/>
  <c r="N62"/>
  <c r="P62" s="1"/>
  <c r="R62" s="1"/>
  <c r="K62"/>
  <c r="L62" s="1"/>
  <c r="Q62" s="1"/>
  <c r="S62" s="1"/>
  <c r="N61"/>
  <c r="P61" s="1"/>
  <c r="R61" s="1"/>
  <c r="K61"/>
  <c r="L61" s="1"/>
  <c r="Q61" s="1"/>
  <c r="S61" s="1"/>
  <c r="K60"/>
  <c r="F60"/>
  <c r="E60"/>
  <c r="N59"/>
  <c r="P59" s="1"/>
  <c r="R59" s="1"/>
  <c r="K59"/>
  <c r="L59" s="1"/>
  <c r="Q59" s="1"/>
  <c r="S59" s="1"/>
  <c r="N58"/>
  <c r="P58" s="1"/>
  <c r="R58" s="1"/>
  <c r="K58"/>
  <c r="L58" s="1"/>
  <c r="Q58" s="1"/>
  <c r="S58" s="1"/>
  <c r="N57"/>
  <c r="P57" s="1"/>
  <c r="R57" s="1"/>
  <c r="K57"/>
  <c r="L57" s="1"/>
  <c r="Q57" s="1"/>
  <c r="S57" s="1"/>
  <c r="N56"/>
  <c r="P56" s="1"/>
  <c r="R56" s="1"/>
  <c r="K56"/>
  <c r="L56" s="1"/>
  <c r="Q56" s="1"/>
  <c r="S56" s="1"/>
  <c r="N55"/>
  <c r="P55" s="1"/>
  <c r="R55" s="1"/>
  <c r="K55"/>
  <c r="L55" s="1"/>
  <c r="Q55" s="1"/>
  <c r="S55" s="1"/>
  <c r="N54"/>
  <c r="P54" s="1"/>
  <c r="R54" s="1"/>
  <c r="K54"/>
  <c r="L54" s="1"/>
  <c r="Q54" s="1"/>
  <c r="S54" s="1"/>
  <c r="N53"/>
  <c r="P53" s="1"/>
  <c r="R53" s="1"/>
  <c r="K53"/>
  <c r="L53" s="1"/>
  <c r="Q53" s="1"/>
  <c r="S53" s="1"/>
  <c r="N52"/>
  <c r="P52" s="1"/>
  <c r="R52" s="1"/>
  <c r="K52"/>
  <c r="L52" s="1"/>
  <c r="Q52" s="1"/>
  <c r="S52" s="1"/>
  <c r="N51"/>
  <c r="P51" s="1"/>
  <c r="R51" s="1"/>
  <c r="K51"/>
  <c r="L51" s="1"/>
  <c r="Q51" s="1"/>
  <c r="S51" s="1"/>
  <c r="N50"/>
  <c r="P50" s="1"/>
  <c r="R50" s="1"/>
  <c r="K50"/>
  <c r="L50" s="1"/>
  <c r="Q50" s="1"/>
  <c r="S50" s="1"/>
  <c r="N49"/>
  <c r="P49" s="1"/>
  <c r="R49" s="1"/>
  <c r="K49"/>
  <c r="L49" s="1"/>
  <c r="Q49" s="1"/>
  <c r="S49" s="1"/>
  <c r="N48"/>
  <c r="P48" s="1"/>
  <c r="R48" s="1"/>
  <c r="K48"/>
  <c r="L48" s="1"/>
  <c r="Q48" s="1"/>
  <c r="S48" s="1"/>
  <c r="N47"/>
  <c r="P47" s="1"/>
  <c r="R47" s="1"/>
  <c r="K47"/>
  <c r="L47" s="1"/>
  <c r="Q47" s="1"/>
  <c r="S47" s="1"/>
  <c r="N46"/>
  <c r="P46" s="1"/>
  <c r="R46" s="1"/>
  <c r="K46"/>
  <c r="L46" s="1"/>
  <c r="Q46" s="1"/>
  <c r="S46" s="1"/>
  <c r="K45"/>
  <c r="F45"/>
  <c r="N45" s="1"/>
  <c r="P45" s="1"/>
  <c r="R45" s="1"/>
  <c r="K44"/>
  <c r="F44"/>
  <c r="N44" s="1"/>
  <c r="P44" s="1"/>
  <c r="R44" s="1"/>
  <c r="K43"/>
  <c r="F43"/>
  <c r="N43" s="1"/>
  <c r="P43" s="1"/>
  <c r="R43" s="1"/>
  <c r="N42"/>
  <c r="P42" s="1"/>
  <c r="R42" s="1"/>
  <c r="K42"/>
  <c r="L42" s="1"/>
  <c r="K41"/>
  <c r="F41"/>
  <c r="N41" s="1"/>
  <c r="P41" s="1"/>
  <c r="R41" s="1"/>
  <c r="K40"/>
  <c r="F40"/>
  <c r="N39"/>
  <c r="P39" s="1"/>
  <c r="R39" s="1"/>
  <c r="K39"/>
  <c r="L39" s="1"/>
  <c r="N38"/>
  <c r="P38" s="1"/>
  <c r="R38" s="1"/>
  <c r="K38"/>
  <c r="L38" s="1"/>
  <c r="K37"/>
  <c r="F37"/>
  <c r="N37" s="1"/>
  <c r="P37" s="1"/>
  <c r="R37" s="1"/>
  <c r="K36"/>
  <c r="F36"/>
  <c r="K35"/>
  <c r="F35"/>
  <c r="N35" s="1"/>
  <c r="P35" s="1"/>
  <c r="R35" s="1"/>
  <c r="K34"/>
  <c r="F34"/>
  <c r="K33"/>
  <c r="F33"/>
  <c r="N33" s="1"/>
  <c r="P33" s="1"/>
  <c r="R33" s="1"/>
  <c r="K32"/>
  <c r="F32"/>
  <c r="N31"/>
  <c r="P31" s="1"/>
  <c r="R31" s="1"/>
  <c r="K31"/>
  <c r="L31" s="1"/>
  <c r="N30"/>
  <c r="P30" s="1"/>
  <c r="R30" s="1"/>
  <c r="K30"/>
  <c r="L30" s="1"/>
  <c r="N29"/>
  <c r="P29" s="1"/>
  <c r="R29" s="1"/>
  <c r="K29"/>
  <c r="L29" s="1"/>
  <c r="N28"/>
  <c r="P28" s="1"/>
  <c r="R28" s="1"/>
  <c r="K28"/>
  <c r="L28" s="1"/>
  <c r="N27"/>
  <c r="P27" s="1"/>
  <c r="R27" s="1"/>
  <c r="K27"/>
  <c r="L27" s="1"/>
  <c r="N26"/>
  <c r="P26" s="1"/>
  <c r="R26" s="1"/>
  <c r="K26"/>
  <c r="L26" s="1"/>
  <c r="N25"/>
  <c r="P25" s="1"/>
  <c r="R25" s="1"/>
  <c r="K25"/>
  <c r="L25" s="1"/>
  <c r="N24"/>
  <c r="P24" s="1"/>
  <c r="R24" s="1"/>
  <c r="K24"/>
  <c r="L24" s="1"/>
  <c r="N23"/>
  <c r="P23" s="1"/>
  <c r="R23" s="1"/>
  <c r="K23"/>
  <c r="L23" s="1"/>
  <c r="N22"/>
  <c r="P22" s="1"/>
  <c r="R22" s="1"/>
  <c r="K22"/>
  <c r="L22" s="1"/>
  <c r="N21"/>
  <c r="P21" s="1"/>
  <c r="R21" s="1"/>
  <c r="K21"/>
  <c r="L21" s="1"/>
  <c r="N20"/>
  <c r="P20" s="1"/>
  <c r="R20" s="1"/>
  <c r="K20"/>
  <c r="L20" s="1"/>
  <c r="N19"/>
  <c r="P19" s="1"/>
  <c r="R19" s="1"/>
  <c r="K19"/>
  <c r="L19" s="1"/>
  <c r="K18"/>
  <c r="F18"/>
  <c r="N18" s="1"/>
  <c r="P18" s="1"/>
  <c r="R18" s="1"/>
  <c r="N17"/>
  <c r="P17" s="1"/>
  <c r="R17" s="1"/>
  <c r="K17"/>
  <c r="L17" s="1"/>
  <c r="T17" s="1"/>
  <c r="N16"/>
  <c r="P16" s="1"/>
  <c r="R16" s="1"/>
  <c r="K16"/>
  <c r="L16" s="1"/>
  <c r="T16" s="1"/>
  <c r="N15"/>
  <c r="P15" s="1"/>
  <c r="R15" s="1"/>
  <c r="K15"/>
  <c r="L15" s="1"/>
  <c r="T15" s="1"/>
  <c r="N14"/>
  <c r="P14" s="1"/>
  <c r="R14" s="1"/>
  <c r="K14"/>
  <c r="L14" s="1"/>
  <c r="T14" s="1"/>
  <c r="N13"/>
  <c r="P13" s="1"/>
  <c r="R13" s="1"/>
  <c r="K13"/>
  <c r="L13" s="1"/>
  <c r="T13" s="1"/>
  <c r="N12"/>
  <c r="P12" s="1"/>
  <c r="R12" s="1"/>
  <c r="K12"/>
  <c r="L12" s="1"/>
  <c r="Q12" s="1"/>
  <c r="S12" s="1"/>
  <c r="N11"/>
  <c r="P11" s="1"/>
  <c r="R11" s="1"/>
  <c r="K11"/>
  <c r="L11" s="1"/>
  <c r="T11" s="1"/>
  <c r="N10"/>
  <c r="P10" s="1"/>
  <c r="R10" s="1"/>
  <c r="K10"/>
  <c r="L10" s="1"/>
  <c r="Q10" s="1"/>
  <c r="S10" s="1"/>
  <c r="N9"/>
  <c r="P9" s="1"/>
  <c r="R9" s="1"/>
  <c r="K9"/>
  <c r="L9" s="1"/>
  <c r="T9" s="1"/>
  <c r="N8"/>
  <c r="P8" s="1"/>
  <c r="R8" s="1"/>
  <c r="K8"/>
  <c r="L8" s="1"/>
  <c r="T8" s="1"/>
  <c r="N7"/>
  <c r="P7" s="1"/>
  <c r="R7" s="1"/>
  <c r="K7"/>
  <c r="L7" s="1"/>
  <c r="Q7" s="1"/>
  <c r="S7" s="1"/>
  <c r="N6"/>
  <c r="K6"/>
  <c r="N4"/>
  <c r="P4" s="1"/>
  <c r="R4" s="1"/>
  <c r="K4"/>
  <c r="L4" s="1"/>
  <c r="N135" i="30" l="1"/>
  <c r="R4"/>
  <c r="P135"/>
  <c r="R135" s="1"/>
  <c r="T117" i="28"/>
  <c r="T135"/>
  <c r="Q130"/>
  <c r="S130" s="1"/>
  <c r="Q46"/>
  <c r="S46" s="1"/>
  <c r="T103" i="29"/>
  <c r="T36"/>
  <c r="Q115"/>
  <c r="S115" s="1"/>
  <c r="Q127"/>
  <c r="S127" s="1"/>
  <c r="T113"/>
  <c r="Q40"/>
  <c r="S40" s="1"/>
  <c r="Q83"/>
  <c r="S83" s="1"/>
  <c r="Q44"/>
  <c r="S44" s="1"/>
  <c r="T190"/>
  <c r="T112" i="28"/>
  <c r="Q132"/>
  <c r="S132" s="1"/>
  <c r="Q111"/>
  <c r="S111" s="1"/>
  <c r="T105"/>
  <c r="Q121"/>
  <c r="S121" s="1"/>
  <c r="T107"/>
  <c r="T49"/>
  <c r="T56"/>
  <c r="Q96"/>
  <c r="S96" s="1"/>
  <c r="T45"/>
  <c r="Q116"/>
  <c r="S116" s="1"/>
  <c r="T57"/>
  <c r="T158" s="1"/>
  <c r="Q128"/>
  <c r="S128" s="1"/>
  <c r="Q58"/>
  <c r="S58" s="1"/>
  <c r="Q48"/>
  <c r="S48" s="1"/>
  <c r="Q140"/>
  <c r="S140" s="1"/>
  <c r="Q126"/>
  <c r="S126" s="1"/>
  <c r="Q108"/>
  <c r="S108" s="1"/>
  <c r="T73"/>
  <c r="Q54"/>
  <c r="S54" s="1"/>
  <c r="Q47"/>
  <c r="S47" s="1"/>
  <c r="Q30"/>
  <c r="S30" s="1"/>
  <c r="L158" i="29"/>
  <c r="Q158" s="1"/>
  <c r="S158" s="1"/>
  <c r="N158"/>
  <c r="P158"/>
  <c r="R158" s="1"/>
  <c r="T158"/>
  <c r="L149" i="28"/>
  <c r="Q149" s="1"/>
  <c r="L158"/>
  <c r="Q158" s="1"/>
  <c r="S158" s="1"/>
  <c r="N158"/>
  <c r="P158"/>
  <c r="R158" s="1"/>
  <c r="L113" i="27"/>
  <c r="T113" s="1"/>
  <c r="L118"/>
  <c r="T118" s="1"/>
  <c r="L33"/>
  <c r="T33" s="1"/>
  <c r="L37"/>
  <c r="Q37" s="1"/>
  <c r="S37" s="1"/>
  <c r="L44"/>
  <c r="T44" s="1"/>
  <c r="L127"/>
  <c r="T127" s="1"/>
  <c r="L6"/>
  <c r="Q6" s="1"/>
  <c r="S6" s="1"/>
  <c r="K145"/>
  <c r="L34"/>
  <c r="Q34" s="1"/>
  <c r="S34" s="1"/>
  <c r="L40"/>
  <c r="T40" s="1"/>
  <c r="L60"/>
  <c r="T60" s="1"/>
  <c r="L83"/>
  <c r="T83" s="1"/>
  <c r="L95"/>
  <c r="T95" s="1"/>
  <c r="L98"/>
  <c r="T98" s="1"/>
  <c r="P6"/>
  <c r="N99"/>
  <c r="P99" s="1"/>
  <c r="R99" s="1"/>
  <c r="F145"/>
  <c r="L175" i="29"/>
  <c r="Q175" s="1"/>
  <c r="S175" s="1"/>
  <c r="P175"/>
  <c r="R175" s="1"/>
  <c r="L180" i="28"/>
  <c r="Q180" s="1"/>
  <c r="S180" s="1"/>
  <c r="L160" i="27"/>
  <c r="Q160" s="1"/>
  <c r="S160" s="1"/>
  <c r="N149" i="28"/>
  <c r="P149" s="1"/>
  <c r="R149" s="1"/>
  <c r="Q4" i="30"/>
  <c r="S4" s="1"/>
  <c r="T4"/>
  <c r="Q17"/>
  <c r="S17" s="1"/>
  <c r="T17"/>
  <c r="Q130" i="29"/>
  <c r="S130" s="1"/>
  <c r="T130"/>
  <c r="Q117"/>
  <c r="S117" s="1"/>
  <c r="T117"/>
  <c r="Q104"/>
  <c r="S104" s="1"/>
  <c r="T104"/>
  <c r="Q96"/>
  <c r="S96" s="1"/>
  <c r="T96"/>
  <c r="T18"/>
  <c r="Q18"/>
  <c r="S18" s="1"/>
  <c r="Q122"/>
  <c r="S122" s="1"/>
  <c r="T122"/>
  <c r="Q119"/>
  <c r="S119" s="1"/>
  <c r="T119"/>
  <c r="Q114"/>
  <c r="S114" s="1"/>
  <c r="T114"/>
  <c r="Q94"/>
  <c r="S94" s="1"/>
  <c r="T94"/>
  <c r="Q43"/>
  <c r="S43" s="1"/>
  <c r="T43"/>
  <c r="L136"/>
  <c r="T4"/>
  <c r="Q4"/>
  <c r="S4" s="1"/>
  <c r="N136"/>
  <c r="Q108"/>
  <c r="S108" s="1"/>
  <c r="T108"/>
  <c r="Q99"/>
  <c r="S99" s="1"/>
  <c r="T99"/>
  <c r="Q92"/>
  <c r="S92" s="1"/>
  <c r="T92"/>
  <c r="Q45"/>
  <c r="S45" s="1"/>
  <c r="T45"/>
  <c r="L18" i="27"/>
  <c r="Q18" s="1"/>
  <c r="S18" s="1"/>
  <c r="L32"/>
  <c r="Q32" s="1"/>
  <c r="S32" s="1"/>
  <c r="L35"/>
  <c r="T35" s="1"/>
  <c r="L36"/>
  <c r="Q36" s="1"/>
  <c r="S36" s="1"/>
  <c r="L41"/>
  <c r="T41" s="1"/>
  <c r="N60"/>
  <c r="P60" s="1"/>
  <c r="R60" s="1"/>
  <c r="L93"/>
  <c r="T93" s="1"/>
  <c r="L103"/>
  <c r="T103" s="1"/>
  <c r="L106"/>
  <c r="T106" s="1"/>
  <c r="L115"/>
  <c r="T115" s="1"/>
  <c r="L121"/>
  <c r="T121" s="1"/>
  <c r="L131"/>
  <c r="T131" s="1"/>
  <c r="E136"/>
  <c r="Q20"/>
  <c r="S20" s="1"/>
  <c r="T20"/>
  <c r="Q22"/>
  <c r="S22" s="1"/>
  <c r="T22"/>
  <c r="Q24"/>
  <c r="S24" s="1"/>
  <c r="T24"/>
  <c r="Q25"/>
  <c r="S25" s="1"/>
  <c r="T25"/>
  <c r="Q26"/>
  <c r="S26" s="1"/>
  <c r="T26"/>
  <c r="Q28"/>
  <c r="S28" s="1"/>
  <c r="T28"/>
  <c r="Q29"/>
  <c r="S29" s="1"/>
  <c r="T29"/>
  <c r="Q30"/>
  <c r="S30" s="1"/>
  <c r="T30"/>
  <c r="Q31"/>
  <c r="S31" s="1"/>
  <c r="T31"/>
  <c r="T32"/>
  <c r="T42"/>
  <c r="Q42"/>
  <c r="S42" s="1"/>
  <c r="Q38"/>
  <c r="S38" s="1"/>
  <c r="T38"/>
  <c r="Q39"/>
  <c r="S39" s="1"/>
  <c r="T39"/>
  <c r="Q19"/>
  <c r="S19" s="1"/>
  <c r="T19"/>
  <c r="Q21"/>
  <c r="S21" s="1"/>
  <c r="T21"/>
  <c r="Q23"/>
  <c r="S23" s="1"/>
  <c r="T23"/>
  <c r="Q27"/>
  <c r="S27" s="1"/>
  <c r="T27"/>
  <c r="T4"/>
  <c r="T7"/>
  <c r="T10"/>
  <c r="T12"/>
  <c r="K136"/>
  <c r="Q4"/>
  <c r="S4" s="1"/>
  <c r="Q8"/>
  <c r="S8" s="1"/>
  <c r="Q9"/>
  <c r="S9" s="1"/>
  <c r="Q11"/>
  <c r="S11" s="1"/>
  <c r="Q13"/>
  <c r="S13" s="1"/>
  <c r="Q14"/>
  <c r="S14" s="1"/>
  <c r="Q15"/>
  <c r="S15" s="1"/>
  <c r="Q16"/>
  <c r="S16" s="1"/>
  <c r="Q17"/>
  <c r="S17" s="1"/>
  <c r="F136"/>
  <c r="N32"/>
  <c r="P32" s="1"/>
  <c r="R32" s="1"/>
  <c r="N34"/>
  <c r="P34" s="1"/>
  <c r="R34" s="1"/>
  <c r="N36"/>
  <c r="P36" s="1"/>
  <c r="R36" s="1"/>
  <c r="N40"/>
  <c r="P40" s="1"/>
  <c r="R40" s="1"/>
  <c r="L43"/>
  <c r="T46"/>
  <c r="T47"/>
  <c r="T48"/>
  <c r="T49"/>
  <c r="T50"/>
  <c r="T51"/>
  <c r="T52"/>
  <c r="T53"/>
  <c r="T54"/>
  <c r="T55"/>
  <c r="T56"/>
  <c r="T57"/>
  <c r="T58"/>
  <c r="T59"/>
  <c r="L94"/>
  <c r="T97"/>
  <c r="L99"/>
  <c r="T105"/>
  <c r="Q107"/>
  <c r="S107" s="1"/>
  <c r="L108"/>
  <c r="Q116"/>
  <c r="S116" s="1"/>
  <c r="L117"/>
  <c r="T120"/>
  <c r="L122"/>
  <c r="L45"/>
  <c r="T61"/>
  <c r="T62"/>
  <c r="T63"/>
  <c r="T64"/>
  <c r="T65"/>
  <c r="T66"/>
  <c r="T67"/>
  <c r="T68"/>
  <c r="T69"/>
  <c r="T70"/>
  <c r="T71"/>
  <c r="T72"/>
  <c r="T73"/>
  <c r="T74"/>
  <c r="T75"/>
  <c r="T76"/>
  <c r="T77"/>
  <c r="T78"/>
  <c r="T79"/>
  <c r="T80"/>
  <c r="T81"/>
  <c r="T82"/>
  <c r="Q83"/>
  <c r="S83" s="1"/>
  <c r="Q84"/>
  <c r="S84" s="1"/>
  <c r="Q85"/>
  <c r="S85" s="1"/>
  <c r="Q86"/>
  <c r="S86" s="1"/>
  <c r="Q87"/>
  <c r="S87" s="1"/>
  <c r="Q88"/>
  <c r="S88" s="1"/>
  <c r="Q89"/>
  <c r="S89" s="1"/>
  <c r="Q90"/>
  <c r="S90" s="1"/>
  <c r="Q91"/>
  <c r="S91" s="1"/>
  <c r="L92"/>
  <c r="L96"/>
  <c r="T100"/>
  <c r="T101"/>
  <c r="T102"/>
  <c r="L104"/>
  <c r="T109"/>
  <c r="T110"/>
  <c r="T111"/>
  <c r="T112"/>
  <c r="L114"/>
  <c r="Q118"/>
  <c r="S118" s="1"/>
  <c r="L119"/>
  <c r="T123"/>
  <c r="T124"/>
  <c r="T125"/>
  <c r="T126"/>
  <c r="Q127"/>
  <c r="S127" s="1"/>
  <c r="Q128"/>
  <c r="S128" s="1"/>
  <c r="Q129"/>
  <c r="S129" s="1"/>
  <c r="L130"/>
  <c r="T132"/>
  <c r="T133"/>
  <c r="T134"/>
  <c r="N120" i="26"/>
  <c r="P120" s="1"/>
  <c r="R120" s="1"/>
  <c r="K120"/>
  <c r="L120" s="1"/>
  <c r="T135" i="30" l="1"/>
  <c r="T149" i="28"/>
  <c r="T153" s="1"/>
  <c r="T34" i="27"/>
  <c r="T180" i="28"/>
  <c r="Q60" i="27"/>
  <c r="S60" s="1"/>
  <c r="Q33"/>
  <c r="S33" s="1"/>
  <c r="Q98"/>
  <c r="S98" s="1"/>
  <c r="Q41"/>
  <c r="S41" s="1"/>
  <c r="Q35"/>
  <c r="S35" s="1"/>
  <c r="T18"/>
  <c r="Q113"/>
  <c r="S113" s="1"/>
  <c r="Q95"/>
  <c r="S95" s="1"/>
  <c r="Q44"/>
  <c r="S44" s="1"/>
  <c r="Q121"/>
  <c r="S121" s="1"/>
  <c r="Q106"/>
  <c r="S106" s="1"/>
  <c r="Q93"/>
  <c r="S93" s="1"/>
  <c r="N145"/>
  <c r="Q103"/>
  <c r="S103" s="1"/>
  <c r="Q131"/>
  <c r="S131" s="1"/>
  <c r="T37"/>
  <c r="Q40"/>
  <c r="S40" s="1"/>
  <c r="Q115"/>
  <c r="S115" s="1"/>
  <c r="R6"/>
  <c r="P145"/>
  <c r="R145" s="1"/>
  <c r="T6"/>
  <c r="L145"/>
  <c r="T160"/>
  <c r="S152" i="28"/>
  <c r="P136" i="29"/>
  <c r="R136" s="1"/>
  <c r="Q136"/>
  <c r="T36" i="27"/>
  <c r="T136" i="29"/>
  <c r="Q119" i="27"/>
  <c r="S119" s="1"/>
  <c r="T119"/>
  <c r="Q104"/>
  <c r="S104" s="1"/>
  <c r="T104"/>
  <c r="Q122"/>
  <c r="S122" s="1"/>
  <c r="T122"/>
  <c r="Q108"/>
  <c r="S108" s="1"/>
  <c r="T108"/>
  <c r="Q99"/>
  <c r="S99" s="1"/>
  <c r="T99"/>
  <c r="Q96"/>
  <c r="S96" s="1"/>
  <c r="T96"/>
  <c r="Q92"/>
  <c r="S92" s="1"/>
  <c r="T92"/>
  <c r="Q45"/>
  <c r="S45" s="1"/>
  <c r="T45"/>
  <c r="Q117"/>
  <c r="S117" s="1"/>
  <c r="T117"/>
  <c r="Q94"/>
  <c r="S94" s="1"/>
  <c r="T94"/>
  <c r="Q43"/>
  <c r="S43" s="1"/>
  <c r="T43"/>
  <c r="N136"/>
  <c r="P136" s="1"/>
  <c r="R136" s="1"/>
  <c r="L136"/>
  <c r="Q136" s="1"/>
  <c r="Q130"/>
  <c r="S130" s="1"/>
  <c r="T130"/>
  <c r="Q114"/>
  <c r="S114" s="1"/>
  <c r="T114"/>
  <c r="T120" i="26"/>
  <c r="Q120"/>
  <c r="S120" s="1"/>
  <c r="O134" i="20"/>
  <c r="L138" i="30" l="1"/>
  <c r="Q145" i="27"/>
  <c r="S145" s="1"/>
  <c r="T145"/>
  <c r="U135" i="30" s="1"/>
  <c r="U138" s="1"/>
  <c r="S139" i="29"/>
  <c r="T140"/>
  <c r="T136" i="27"/>
  <c r="S139" s="1"/>
  <c r="T153" i="23"/>
  <c r="D12" i="25"/>
  <c r="H12" s="1"/>
  <c r="L12" s="1"/>
  <c r="H19" i="24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55"/>
  <c r="K56"/>
  <c r="K19"/>
  <c r="K20"/>
  <c r="K21"/>
  <c r="K22"/>
  <c r="K23"/>
  <c r="K24"/>
  <c r="K25"/>
  <c r="K26"/>
  <c r="K27"/>
  <c r="K28"/>
  <c r="K29"/>
  <c r="K30"/>
  <c r="K31"/>
  <c r="K32"/>
  <c r="K33"/>
  <c r="K34"/>
  <c r="K35"/>
  <c r="H11"/>
  <c r="K11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K139"/>
  <c r="E98"/>
  <c r="E97"/>
  <c r="E96"/>
  <c r="E95"/>
  <c r="E94"/>
  <c r="E93"/>
  <c r="E92"/>
  <c r="E91"/>
  <c r="E90"/>
  <c r="E89"/>
  <c r="E88"/>
  <c r="E87"/>
  <c r="E86"/>
  <c r="E85"/>
  <c r="E84"/>
  <c r="E83"/>
  <c r="E82"/>
  <c r="E81"/>
  <c r="E80"/>
  <c r="E79"/>
  <c r="E78"/>
  <c r="E77"/>
  <c r="E76"/>
  <c r="E75"/>
  <c r="K68"/>
  <c r="K67"/>
  <c r="K66"/>
  <c r="K65"/>
  <c r="K64"/>
  <c r="K63"/>
  <c r="K62"/>
  <c r="K60"/>
  <c r="K59"/>
  <c r="K58"/>
  <c r="K57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18"/>
  <c r="H18"/>
  <c r="K17"/>
  <c r="H17"/>
  <c r="K16"/>
  <c r="H16"/>
  <c r="K15"/>
  <c r="H15"/>
  <c r="K14"/>
  <c r="H14"/>
  <c r="K13"/>
  <c r="H13"/>
  <c r="K12"/>
  <c r="H12"/>
  <c r="K10"/>
  <c r="H10"/>
  <c r="E10"/>
  <c r="T140" i="27" l="1"/>
  <c r="O148" i="22" l="1"/>
  <c r="O146"/>
  <c r="O146" i="23"/>
  <c r="O148" s="1"/>
  <c r="O158" s="1"/>
  <c r="J146"/>
  <c r="C147"/>
  <c r="D147" s="1"/>
  <c r="D146"/>
  <c r="D145"/>
  <c r="D17" i="21"/>
  <c r="H17" s="1"/>
  <c r="M146" i="23"/>
  <c r="K148" l="1"/>
  <c r="K158" s="1"/>
  <c r="I148"/>
  <c r="I158" s="1"/>
  <c r="H148"/>
  <c r="H158" s="1"/>
  <c r="G148"/>
  <c r="G158" s="1"/>
  <c r="F148"/>
  <c r="F158" s="1"/>
  <c r="E148"/>
  <c r="E158" s="1"/>
  <c r="C148"/>
  <c r="C158" s="1"/>
  <c r="B148"/>
  <c r="N147"/>
  <c r="P147" s="1"/>
  <c r="R147" s="1"/>
  <c r="D148"/>
  <c r="D158" s="1"/>
  <c r="L147"/>
  <c r="N146"/>
  <c r="P146" s="1"/>
  <c r="R146" s="1"/>
  <c r="M148"/>
  <c r="M158" s="1"/>
  <c r="L146"/>
  <c r="T146" s="1"/>
  <c r="J148"/>
  <c r="J158" s="1"/>
  <c r="N145"/>
  <c r="P145" s="1"/>
  <c r="R145" s="1"/>
  <c r="L145"/>
  <c r="T145" s="1"/>
  <c r="N144"/>
  <c r="P144" s="1"/>
  <c r="R144" s="1"/>
  <c r="L144"/>
  <c r="T144" s="1"/>
  <c r="N143"/>
  <c r="P143" s="1"/>
  <c r="R143" s="1"/>
  <c r="L143"/>
  <c r="T143" s="1"/>
  <c r="N142"/>
  <c r="P142" s="1"/>
  <c r="R142" s="1"/>
  <c r="L142"/>
  <c r="T142" s="1"/>
  <c r="N141"/>
  <c r="P141" s="1"/>
  <c r="R141" s="1"/>
  <c r="L141"/>
  <c r="T141" s="1"/>
  <c r="N140"/>
  <c r="P140" s="1"/>
  <c r="R140" s="1"/>
  <c r="L140"/>
  <c r="T140" s="1"/>
  <c r="N139"/>
  <c r="P139" s="1"/>
  <c r="R139" s="1"/>
  <c r="L139"/>
  <c r="T139" s="1"/>
  <c r="N138"/>
  <c r="P138" s="1"/>
  <c r="R138" s="1"/>
  <c r="L138"/>
  <c r="T138" s="1"/>
  <c r="N137"/>
  <c r="P137" s="1"/>
  <c r="R137" s="1"/>
  <c r="L137"/>
  <c r="T137" s="1"/>
  <c r="N136"/>
  <c r="P136" s="1"/>
  <c r="R136" s="1"/>
  <c r="L136"/>
  <c r="T136" s="1"/>
  <c r="N135"/>
  <c r="P135" s="1"/>
  <c r="R135" s="1"/>
  <c r="L135"/>
  <c r="T135" s="1"/>
  <c r="N134"/>
  <c r="P134" s="1"/>
  <c r="R134" s="1"/>
  <c r="L134"/>
  <c r="T134" s="1"/>
  <c r="N133"/>
  <c r="P133" s="1"/>
  <c r="R133" s="1"/>
  <c r="L133"/>
  <c r="T133" s="1"/>
  <c r="N132"/>
  <c r="P132" s="1"/>
  <c r="R132" s="1"/>
  <c r="L132"/>
  <c r="T132" s="1"/>
  <c r="N131"/>
  <c r="P131" s="1"/>
  <c r="R131" s="1"/>
  <c r="L131"/>
  <c r="T131" s="1"/>
  <c r="N130"/>
  <c r="P130" s="1"/>
  <c r="R130" s="1"/>
  <c r="L130"/>
  <c r="T130" s="1"/>
  <c r="N129"/>
  <c r="P129" s="1"/>
  <c r="R129" s="1"/>
  <c r="L129"/>
  <c r="T129" s="1"/>
  <c r="N128"/>
  <c r="P128" s="1"/>
  <c r="R128" s="1"/>
  <c r="L128"/>
  <c r="T128" s="1"/>
  <c r="N127"/>
  <c r="P127" s="1"/>
  <c r="R127" s="1"/>
  <c r="L127"/>
  <c r="T127" s="1"/>
  <c r="N126"/>
  <c r="P126" s="1"/>
  <c r="R126" s="1"/>
  <c r="L126"/>
  <c r="T126" s="1"/>
  <c r="N125"/>
  <c r="P125" s="1"/>
  <c r="R125" s="1"/>
  <c r="L125"/>
  <c r="T125" s="1"/>
  <c r="N124"/>
  <c r="P124" s="1"/>
  <c r="R124" s="1"/>
  <c r="L124"/>
  <c r="T124" s="1"/>
  <c r="N123"/>
  <c r="P123" s="1"/>
  <c r="R123" s="1"/>
  <c r="L123"/>
  <c r="T123" s="1"/>
  <c r="N122"/>
  <c r="P122" s="1"/>
  <c r="R122" s="1"/>
  <c r="L122"/>
  <c r="T122" s="1"/>
  <c r="N121"/>
  <c r="P121" s="1"/>
  <c r="R121" s="1"/>
  <c r="L121"/>
  <c r="T121" s="1"/>
  <c r="N120"/>
  <c r="P120" s="1"/>
  <c r="R120" s="1"/>
  <c r="L120"/>
  <c r="T120" s="1"/>
  <c r="N119"/>
  <c r="P119" s="1"/>
  <c r="R119" s="1"/>
  <c r="L119"/>
  <c r="T119" s="1"/>
  <c r="N118"/>
  <c r="P118" s="1"/>
  <c r="R118" s="1"/>
  <c r="L118"/>
  <c r="T118" s="1"/>
  <c r="N117"/>
  <c r="P117" s="1"/>
  <c r="R117" s="1"/>
  <c r="L117"/>
  <c r="T117" s="1"/>
  <c r="N116"/>
  <c r="P116" s="1"/>
  <c r="R116" s="1"/>
  <c r="L116"/>
  <c r="T116" s="1"/>
  <c r="N115"/>
  <c r="P115" s="1"/>
  <c r="R115" s="1"/>
  <c r="L115"/>
  <c r="T115" s="1"/>
  <c r="N114"/>
  <c r="P114" s="1"/>
  <c r="R114" s="1"/>
  <c r="L114"/>
  <c r="T114" s="1"/>
  <c r="N113"/>
  <c r="P113" s="1"/>
  <c r="R113" s="1"/>
  <c r="L113"/>
  <c r="T113" s="1"/>
  <c r="N112"/>
  <c r="P112" s="1"/>
  <c r="R112" s="1"/>
  <c r="L112"/>
  <c r="T112" s="1"/>
  <c r="N111"/>
  <c r="P111" s="1"/>
  <c r="R111" s="1"/>
  <c r="L111"/>
  <c r="T111" s="1"/>
  <c r="N110"/>
  <c r="P110" s="1"/>
  <c r="R110" s="1"/>
  <c r="L110"/>
  <c r="T110" s="1"/>
  <c r="N109"/>
  <c r="P109" s="1"/>
  <c r="R109" s="1"/>
  <c r="L109"/>
  <c r="T109" s="1"/>
  <c r="N108"/>
  <c r="P108" s="1"/>
  <c r="R108" s="1"/>
  <c r="L108"/>
  <c r="T108" s="1"/>
  <c r="N107"/>
  <c r="P107" s="1"/>
  <c r="R107" s="1"/>
  <c r="L107"/>
  <c r="T107" s="1"/>
  <c r="N106"/>
  <c r="P106" s="1"/>
  <c r="R106" s="1"/>
  <c r="L106"/>
  <c r="T106" s="1"/>
  <c r="N105"/>
  <c r="P105" s="1"/>
  <c r="R105" s="1"/>
  <c r="L105"/>
  <c r="T105" s="1"/>
  <c r="N104"/>
  <c r="P104" s="1"/>
  <c r="R104" s="1"/>
  <c r="L104"/>
  <c r="T104" s="1"/>
  <c r="N103"/>
  <c r="P103" s="1"/>
  <c r="R103" s="1"/>
  <c r="L103"/>
  <c r="T103" s="1"/>
  <c r="N102"/>
  <c r="P102" s="1"/>
  <c r="R102" s="1"/>
  <c r="L102"/>
  <c r="T102" s="1"/>
  <c r="N101"/>
  <c r="P101" s="1"/>
  <c r="R101" s="1"/>
  <c r="L101"/>
  <c r="T101" s="1"/>
  <c r="N100"/>
  <c r="P100" s="1"/>
  <c r="R100" s="1"/>
  <c r="L100"/>
  <c r="T100" s="1"/>
  <c r="N99"/>
  <c r="P99" s="1"/>
  <c r="R99" s="1"/>
  <c r="L99"/>
  <c r="T99" s="1"/>
  <c r="N98"/>
  <c r="P98" s="1"/>
  <c r="R98" s="1"/>
  <c r="L98"/>
  <c r="T98" s="1"/>
  <c r="N97"/>
  <c r="P97" s="1"/>
  <c r="R97" s="1"/>
  <c r="L97"/>
  <c r="T97" s="1"/>
  <c r="N96"/>
  <c r="P96" s="1"/>
  <c r="R96" s="1"/>
  <c r="L96"/>
  <c r="T96" s="1"/>
  <c r="N95"/>
  <c r="P95" s="1"/>
  <c r="R95" s="1"/>
  <c r="L95"/>
  <c r="T95" s="1"/>
  <c r="N94"/>
  <c r="P94" s="1"/>
  <c r="R94" s="1"/>
  <c r="L94"/>
  <c r="T94" s="1"/>
  <c r="N93"/>
  <c r="P93" s="1"/>
  <c r="R93" s="1"/>
  <c r="L93"/>
  <c r="T93" s="1"/>
  <c r="N92"/>
  <c r="P92" s="1"/>
  <c r="R92" s="1"/>
  <c r="L92"/>
  <c r="T92" s="1"/>
  <c r="N91"/>
  <c r="P91" s="1"/>
  <c r="R91" s="1"/>
  <c r="L91"/>
  <c r="T91" s="1"/>
  <c r="N90"/>
  <c r="P90" s="1"/>
  <c r="R90" s="1"/>
  <c r="L90"/>
  <c r="T90" s="1"/>
  <c r="N89"/>
  <c r="P89" s="1"/>
  <c r="R89" s="1"/>
  <c r="L89"/>
  <c r="T89" s="1"/>
  <c r="N88"/>
  <c r="P88" s="1"/>
  <c r="R88" s="1"/>
  <c r="L88"/>
  <c r="T88" s="1"/>
  <c r="N87"/>
  <c r="P87" s="1"/>
  <c r="R87" s="1"/>
  <c r="L87"/>
  <c r="T87" s="1"/>
  <c r="N86"/>
  <c r="P86" s="1"/>
  <c r="R86" s="1"/>
  <c r="L86"/>
  <c r="T86" s="1"/>
  <c r="N85"/>
  <c r="P85" s="1"/>
  <c r="R85" s="1"/>
  <c r="L85"/>
  <c r="T85" s="1"/>
  <c r="N84"/>
  <c r="P84" s="1"/>
  <c r="R84" s="1"/>
  <c r="L84"/>
  <c r="T84" s="1"/>
  <c r="N83"/>
  <c r="P83" s="1"/>
  <c r="R83" s="1"/>
  <c r="L83"/>
  <c r="T83" s="1"/>
  <c r="N82"/>
  <c r="P82" s="1"/>
  <c r="R82" s="1"/>
  <c r="L82"/>
  <c r="T82" s="1"/>
  <c r="N81"/>
  <c r="P81" s="1"/>
  <c r="R81" s="1"/>
  <c r="L81"/>
  <c r="T81" s="1"/>
  <c r="N80"/>
  <c r="P80" s="1"/>
  <c r="R80" s="1"/>
  <c r="L80"/>
  <c r="T80" s="1"/>
  <c r="N79"/>
  <c r="P79" s="1"/>
  <c r="R79" s="1"/>
  <c r="L79"/>
  <c r="T79" s="1"/>
  <c r="N78"/>
  <c r="P78" s="1"/>
  <c r="R78" s="1"/>
  <c r="L78"/>
  <c r="T78" s="1"/>
  <c r="N77"/>
  <c r="P77" s="1"/>
  <c r="R77" s="1"/>
  <c r="L77"/>
  <c r="T77" s="1"/>
  <c r="N76"/>
  <c r="P76" s="1"/>
  <c r="R76" s="1"/>
  <c r="L76"/>
  <c r="T76" s="1"/>
  <c r="N75"/>
  <c r="P75" s="1"/>
  <c r="R75" s="1"/>
  <c r="L75"/>
  <c r="T75" s="1"/>
  <c r="N74"/>
  <c r="P74" s="1"/>
  <c r="R74" s="1"/>
  <c r="L74"/>
  <c r="T74" s="1"/>
  <c r="N73"/>
  <c r="P73" s="1"/>
  <c r="R73" s="1"/>
  <c r="L73"/>
  <c r="T73" s="1"/>
  <c r="N72"/>
  <c r="P72" s="1"/>
  <c r="R72" s="1"/>
  <c r="L72"/>
  <c r="T72" s="1"/>
  <c r="N71"/>
  <c r="P71" s="1"/>
  <c r="R71" s="1"/>
  <c r="L71"/>
  <c r="T71" s="1"/>
  <c r="N70"/>
  <c r="P70" s="1"/>
  <c r="R70" s="1"/>
  <c r="L70"/>
  <c r="T70" s="1"/>
  <c r="N69"/>
  <c r="P69" s="1"/>
  <c r="R69" s="1"/>
  <c r="L69"/>
  <c r="T69" s="1"/>
  <c r="N68"/>
  <c r="P68" s="1"/>
  <c r="R68" s="1"/>
  <c r="L68"/>
  <c r="T68" s="1"/>
  <c r="N67"/>
  <c r="P67" s="1"/>
  <c r="R67" s="1"/>
  <c r="L67"/>
  <c r="T67" s="1"/>
  <c r="N66"/>
  <c r="P66" s="1"/>
  <c r="R66" s="1"/>
  <c r="L66"/>
  <c r="T66" s="1"/>
  <c r="N65"/>
  <c r="P65" s="1"/>
  <c r="R65" s="1"/>
  <c r="L65"/>
  <c r="T65" s="1"/>
  <c r="N64"/>
  <c r="P64" s="1"/>
  <c r="R64" s="1"/>
  <c r="L64"/>
  <c r="T64" s="1"/>
  <c r="N63"/>
  <c r="P63" s="1"/>
  <c r="R63" s="1"/>
  <c r="L63"/>
  <c r="T63" s="1"/>
  <c r="N62"/>
  <c r="P62" s="1"/>
  <c r="R62" s="1"/>
  <c r="L62"/>
  <c r="T62" s="1"/>
  <c r="N61"/>
  <c r="P61" s="1"/>
  <c r="R61" s="1"/>
  <c r="L61"/>
  <c r="T61" s="1"/>
  <c r="N60"/>
  <c r="P60" s="1"/>
  <c r="R60" s="1"/>
  <c r="L60"/>
  <c r="T60" s="1"/>
  <c r="N59"/>
  <c r="P59" s="1"/>
  <c r="R59" s="1"/>
  <c r="L59"/>
  <c r="T59" s="1"/>
  <c r="N58"/>
  <c r="P58" s="1"/>
  <c r="R58" s="1"/>
  <c r="L58"/>
  <c r="T58" s="1"/>
  <c r="N57"/>
  <c r="P57" s="1"/>
  <c r="R57" s="1"/>
  <c r="L57"/>
  <c r="T57" s="1"/>
  <c r="N56"/>
  <c r="P56" s="1"/>
  <c r="R56" s="1"/>
  <c r="L56"/>
  <c r="T56" s="1"/>
  <c r="N55"/>
  <c r="P55" s="1"/>
  <c r="R55" s="1"/>
  <c r="L55"/>
  <c r="T55" s="1"/>
  <c r="N54"/>
  <c r="P54" s="1"/>
  <c r="R54" s="1"/>
  <c r="L54"/>
  <c r="T54" s="1"/>
  <c r="N53"/>
  <c r="P53" s="1"/>
  <c r="R53" s="1"/>
  <c r="L53"/>
  <c r="T53" s="1"/>
  <c r="N52"/>
  <c r="P52" s="1"/>
  <c r="R52" s="1"/>
  <c r="L52"/>
  <c r="T52" s="1"/>
  <c r="N51"/>
  <c r="P51" s="1"/>
  <c r="R51" s="1"/>
  <c r="L51"/>
  <c r="T51" s="1"/>
  <c r="N50"/>
  <c r="P50" s="1"/>
  <c r="R50" s="1"/>
  <c r="L50"/>
  <c r="T50" s="1"/>
  <c r="N49"/>
  <c r="P49" s="1"/>
  <c r="R49" s="1"/>
  <c r="L49"/>
  <c r="T49" s="1"/>
  <c r="N48"/>
  <c r="P48" s="1"/>
  <c r="R48" s="1"/>
  <c r="L48"/>
  <c r="T48" s="1"/>
  <c r="N47"/>
  <c r="P47" s="1"/>
  <c r="R47" s="1"/>
  <c r="L47"/>
  <c r="T47" s="1"/>
  <c r="N46"/>
  <c r="P46" s="1"/>
  <c r="R46" s="1"/>
  <c r="L46"/>
  <c r="T46" s="1"/>
  <c r="N45"/>
  <c r="P45" s="1"/>
  <c r="R45" s="1"/>
  <c r="L45"/>
  <c r="T45" s="1"/>
  <c r="N44"/>
  <c r="P44" s="1"/>
  <c r="R44" s="1"/>
  <c r="L44"/>
  <c r="T44" s="1"/>
  <c r="N43"/>
  <c r="P43" s="1"/>
  <c r="R43" s="1"/>
  <c r="L43"/>
  <c r="T43" s="1"/>
  <c r="N42"/>
  <c r="P42" s="1"/>
  <c r="R42" s="1"/>
  <c r="L42"/>
  <c r="T42" s="1"/>
  <c r="N41"/>
  <c r="P41" s="1"/>
  <c r="R41" s="1"/>
  <c r="L41"/>
  <c r="T41" s="1"/>
  <c r="N40"/>
  <c r="P40" s="1"/>
  <c r="R40" s="1"/>
  <c r="L40"/>
  <c r="T40" s="1"/>
  <c r="N39"/>
  <c r="P39" s="1"/>
  <c r="R39" s="1"/>
  <c r="L39"/>
  <c r="T39" s="1"/>
  <c r="N38"/>
  <c r="P38" s="1"/>
  <c r="R38" s="1"/>
  <c r="L38"/>
  <c r="T38" s="1"/>
  <c r="N37"/>
  <c r="P37" s="1"/>
  <c r="R37" s="1"/>
  <c r="L37"/>
  <c r="T37" s="1"/>
  <c r="N36"/>
  <c r="P36" s="1"/>
  <c r="R36" s="1"/>
  <c r="L36"/>
  <c r="T36" s="1"/>
  <c r="N35"/>
  <c r="P35" s="1"/>
  <c r="R35" s="1"/>
  <c r="L35"/>
  <c r="T35" s="1"/>
  <c r="N34"/>
  <c r="P34" s="1"/>
  <c r="R34" s="1"/>
  <c r="L34"/>
  <c r="T34" s="1"/>
  <c r="N33"/>
  <c r="P33" s="1"/>
  <c r="R33" s="1"/>
  <c r="L33"/>
  <c r="T33" s="1"/>
  <c r="N32"/>
  <c r="P32" s="1"/>
  <c r="R32" s="1"/>
  <c r="L32"/>
  <c r="T32" s="1"/>
  <c r="N31"/>
  <c r="P31" s="1"/>
  <c r="R31" s="1"/>
  <c r="L31"/>
  <c r="T31" s="1"/>
  <c r="N30"/>
  <c r="P30" s="1"/>
  <c r="R30" s="1"/>
  <c r="L30"/>
  <c r="T30" s="1"/>
  <c r="N29"/>
  <c r="P29" s="1"/>
  <c r="R29" s="1"/>
  <c r="L29"/>
  <c r="T29" s="1"/>
  <c r="N28"/>
  <c r="P28" s="1"/>
  <c r="R28" s="1"/>
  <c r="L28"/>
  <c r="T28" s="1"/>
  <c r="N27"/>
  <c r="P27" s="1"/>
  <c r="R27" s="1"/>
  <c r="L27"/>
  <c r="T27" s="1"/>
  <c r="N26"/>
  <c r="P26" s="1"/>
  <c r="R26" s="1"/>
  <c r="L26"/>
  <c r="T26" s="1"/>
  <c r="N25"/>
  <c r="P25" s="1"/>
  <c r="R25" s="1"/>
  <c r="L25"/>
  <c r="T25" s="1"/>
  <c r="N24"/>
  <c r="P24" s="1"/>
  <c r="R24" s="1"/>
  <c r="L24"/>
  <c r="T24" s="1"/>
  <c r="N23"/>
  <c r="P23" s="1"/>
  <c r="R23" s="1"/>
  <c r="L23"/>
  <c r="T23" s="1"/>
  <c r="N22"/>
  <c r="P22" s="1"/>
  <c r="R22" s="1"/>
  <c r="L22"/>
  <c r="T22" s="1"/>
  <c r="N21"/>
  <c r="P21" s="1"/>
  <c r="R21" s="1"/>
  <c r="L21"/>
  <c r="T21" s="1"/>
  <c r="N20"/>
  <c r="P20" s="1"/>
  <c r="R20" s="1"/>
  <c r="L20"/>
  <c r="T20" s="1"/>
  <c r="N19"/>
  <c r="P19" s="1"/>
  <c r="R19" s="1"/>
  <c r="L19"/>
  <c r="T19" s="1"/>
  <c r="N18"/>
  <c r="P18" s="1"/>
  <c r="R18" s="1"/>
  <c r="L18"/>
  <c r="T18" s="1"/>
  <c r="N17"/>
  <c r="L17"/>
  <c r="T17" s="1"/>
  <c r="Q16"/>
  <c r="K15"/>
  <c r="J15"/>
  <c r="I15"/>
  <c r="H15"/>
  <c r="G15"/>
  <c r="F15"/>
  <c r="E15"/>
  <c r="D15"/>
  <c r="C15"/>
  <c r="B15"/>
  <c r="Q14"/>
  <c r="O14"/>
  <c r="P14" s="1"/>
  <c r="N14"/>
  <c r="M14"/>
  <c r="L14"/>
  <c r="Q13"/>
  <c r="O13"/>
  <c r="P13" s="1"/>
  <c r="N13"/>
  <c r="M13"/>
  <c r="L13"/>
  <c r="Q12"/>
  <c r="O12"/>
  <c r="P12" s="1"/>
  <c r="N12"/>
  <c r="M12"/>
  <c r="L12"/>
  <c r="Q11"/>
  <c r="O11"/>
  <c r="P11" s="1"/>
  <c r="N11"/>
  <c r="M11"/>
  <c r="L11"/>
  <c r="Q10"/>
  <c r="O10"/>
  <c r="P10" s="1"/>
  <c r="N10"/>
  <c r="M10"/>
  <c r="L10"/>
  <c r="Q9"/>
  <c r="O9"/>
  <c r="P9" s="1"/>
  <c r="N9"/>
  <c r="M9"/>
  <c r="L9"/>
  <c r="Q8"/>
  <c r="O8"/>
  <c r="P8" s="1"/>
  <c r="N8"/>
  <c r="M8"/>
  <c r="L8"/>
  <c r="Q7"/>
  <c r="O7"/>
  <c r="P7" s="1"/>
  <c r="N7"/>
  <c r="M7"/>
  <c r="L7"/>
  <c r="Q6"/>
  <c r="O6"/>
  <c r="P6" s="1"/>
  <c r="N6"/>
  <c r="M6"/>
  <c r="L6"/>
  <c r="Q5"/>
  <c r="O5"/>
  <c r="P5" s="1"/>
  <c r="N5"/>
  <c r="M5"/>
  <c r="L5"/>
  <c r="Q4"/>
  <c r="O4"/>
  <c r="P4" s="1"/>
  <c r="P15" s="1"/>
  <c r="N4"/>
  <c r="N15" s="1"/>
  <c r="M4"/>
  <c r="M15" s="1"/>
  <c r="L4"/>
  <c r="L92" i="22"/>
  <c r="L84"/>
  <c r="L18"/>
  <c r="L19"/>
  <c r="L20"/>
  <c r="L21"/>
  <c r="L22"/>
  <c r="L23"/>
  <c r="L24"/>
  <c r="L25"/>
  <c r="L26"/>
  <c r="L27"/>
  <c r="L28"/>
  <c r="L29"/>
  <c r="L30"/>
  <c r="L31"/>
  <c r="L32"/>
  <c r="L33"/>
  <c r="L34"/>
  <c r="L35"/>
  <c r="L36"/>
  <c r="L37"/>
  <c r="L38"/>
  <c r="L39"/>
  <c r="L40"/>
  <c r="L41"/>
  <c r="L42"/>
  <c r="L43"/>
  <c r="L44"/>
  <c r="L45"/>
  <c r="L46"/>
  <c r="L47"/>
  <c r="L48"/>
  <c r="L49"/>
  <c r="L50"/>
  <c r="L51"/>
  <c r="L52"/>
  <c r="L53"/>
  <c r="L54"/>
  <c r="L55"/>
  <c r="L56"/>
  <c r="L57"/>
  <c r="L58"/>
  <c r="L59"/>
  <c r="L60"/>
  <c r="L61"/>
  <c r="L62"/>
  <c r="L63"/>
  <c r="L64"/>
  <c r="L65"/>
  <c r="L66"/>
  <c r="L67"/>
  <c r="L68"/>
  <c r="L69"/>
  <c r="L70"/>
  <c r="L71"/>
  <c r="L72"/>
  <c r="L73"/>
  <c r="L74"/>
  <c r="L75"/>
  <c r="L76"/>
  <c r="L77"/>
  <c r="L78"/>
  <c r="L79"/>
  <c r="L80"/>
  <c r="L81"/>
  <c r="L82"/>
  <c r="L83"/>
  <c r="L85"/>
  <c r="L86"/>
  <c r="L87"/>
  <c r="L88"/>
  <c r="L89"/>
  <c r="L90"/>
  <c r="L91"/>
  <c r="L93"/>
  <c r="L94"/>
  <c r="L95"/>
  <c r="L96"/>
  <c r="L97"/>
  <c r="L98"/>
  <c r="L99"/>
  <c r="L100"/>
  <c r="L101"/>
  <c r="L102"/>
  <c r="L103"/>
  <c r="L104"/>
  <c r="L105"/>
  <c r="L106"/>
  <c r="L107"/>
  <c r="L108"/>
  <c r="L109"/>
  <c r="L110"/>
  <c r="L111"/>
  <c r="L112"/>
  <c r="L113"/>
  <c r="L114"/>
  <c r="L115"/>
  <c r="L116"/>
  <c r="L117"/>
  <c r="L118"/>
  <c r="L119"/>
  <c r="L120"/>
  <c r="L121"/>
  <c r="L122"/>
  <c r="L123"/>
  <c r="L124"/>
  <c r="L125"/>
  <c r="L126"/>
  <c r="L127"/>
  <c r="L128"/>
  <c r="L129"/>
  <c r="L130"/>
  <c r="L131"/>
  <c r="L132"/>
  <c r="L133"/>
  <c r="L134"/>
  <c r="L135"/>
  <c r="L136"/>
  <c r="L137"/>
  <c r="L138"/>
  <c r="L139"/>
  <c r="L140"/>
  <c r="L141"/>
  <c r="L142"/>
  <c r="L143"/>
  <c r="L144"/>
  <c r="L145"/>
  <c r="L17"/>
  <c r="T144"/>
  <c r="D14" i="21"/>
  <c r="H14" s="1"/>
  <c r="N17" i="22"/>
  <c r="L15" i="23" l="1"/>
  <c r="Q15"/>
  <c r="N148"/>
  <c r="Q85"/>
  <c r="S85" s="1"/>
  <c r="Q87"/>
  <c r="S87" s="1"/>
  <c r="Q88"/>
  <c r="S88" s="1"/>
  <c r="Q89"/>
  <c r="S89" s="1"/>
  <c r="Q90"/>
  <c r="S90" s="1"/>
  <c r="Q91"/>
  <c r="S91" s="1"/>
  <c r="Q92"/>
  <c r="S92" s="1"/>
  <c r="Q93"/>
  <c r="S93" s="1"/>
  <c r="Q94"/>
  <c r="S94" s="1"/>
  <c r="Q95"/>
  <c r="S95" s="1"/>
  <c r="Q96"/>
  <c r="S96" s="1"/>
  <c r="Q97"/>
  <c r="S97" s="1"/>
  <c r="Q98"/>
  <c r="S98" s="1"/>
  <c r="Q99"/>
  <c r="S99" s="1"/>
  <c r="Q100"/>
  <c r="S100" s="1"/>
  <c r="Q101"/>
  <c r="S101" s="1"/>
  <c r="Q102"/>
  <c r="S102" s="1"/>
  <c r="Q103"/>
  <c r="S103" s="1"/>
  <c r="Q104"/>
  <c r="S104" s="1"/>
  <c r="Q105"/>
  <c r="S105" s="1"/>
  <c r="Q106"/>
  <c r="S106" s="1"/>
  <c r="Q107"/>
  <c r="S107" s="1"/>
  <c r="Q108"/>
  <c r="S108" s="1"/>
  <c r="Q109"/>
  <c r="S109" s="1"/>
  <c r="Q110"/>
  <c r="S110" s="1"/>
  <c r="Q111"/>
  <c r="S111" s="1"/>
  <c r="Q112"/>
  <c r="S112" s="1"/>
  <c r="Q113"/>
  <c r="S113" s="1"/>
  <c r="Q114"/>
  <c r="S114" s="1"/>
  <c r="Q115"/>
  <c r="S115" s="1"/>
  <c r="Q116"/>
  <c r="S116" s="1"/>
  <c r="Q117"/>
  <c r="S117" s="1"/>
  <c r="Q118"/>
  <c r="S118" s="1"/>
  <c r="Q119"/>
  <c r="S119" s="1"/>
  <c r="Q120"/>
  <c r="S120" s="1"/>
  <c r="Q121"/>
  <c r="S121" s="1"/>
  <c r="Q122"/>
  <c r="S122" s="1"/>
  <c r="Q123"/>
  <c r="S123" s="1"/>
  <c r="Q124"/>
  <c r="S124" s="1"/>
  <c r="Q125"/>
  <c r="S125" s="1"/>
  <c r="Q126"/>
  <c r="S126" s="1"/>
  <c r="Q127"/>
  <c r="S127" s="1"/>
  <c r="Q128"/>
  <c r="S128" s="1"/>
  <c r="Q129"/>
  <c r="S129" s="1"/>
  <c r="Q130"/>
  <c r="S130" s="1"/>
  <c r="Q131"/>
  <c r="S131" s="1"/>
  <c r="Q132"/>
  <c r="S132" s="1"/>
  <c r="Q133"/>
  <c r="S133" s="1"/>
  <c r="Q134"/>
  <c r="S134" s="1"/>
  <c r="Q135"/>
  <c r="S135" s="1"/>
  <c r="Q136"/>
  <c r="S136" s="1"/>
  <c r="Q137"/>
  <c r="S137" s="1"/>
  <c r="Q138"/>
  <c r="S138" s="1"/>
  <c r="Q139"/>
  <c r="S139" s="1"/>
  <c r="Q140"/>
  <c r="S140" s="1"/>
  <c r="Q141"/>
  <c r="S141" s="1"/>
  <c r="Q142"/>
  <c r="S142" s="1"/>
  <c r="Q143"/>
  <c r="S143" s="1"/>
  <c r="Q144"/>
  <c r="S144" s="1"/>
  <c r="Q145"/>
  <c r="S145" s="1"/>
  <c r="P17"/>
  <c r="R17" s="1"/>
  <c r="Q86"/>
  <c r="S86" s="1"/>
  <c r="T147"/>
  <c r="Q147"/>
  <c r="S147" s="1"/>
  <c r="T148"/>
  <c r="O15"/>
  <c r="L148"/>
  <c r="Q17"/>
  <c r="S17" s="1"/>
  <c r="Q18"/>
  <c r="S18" s="1"/>
  <c r="Q19"/>
  <c r="S19" s="1"/>
  <c r="Q20"/>
  <c r="S20" s="1"/>
  <c r="Q21"/>
  <c r="S21" s="1"/>
  <c r="Q22"/>
  <c r="S22" s="1"/>
  <c r="Q23"/>
  <c r="S23" s="1"/>
  <c r="Q24"/>
  <c r="S24" s="1"/>
  <c r="Q25"/>
  <c r="S25" s="1"/>
  <c r="Q26"/>
  <c r="S26" s="1"/>
  <c r="Q27"/>
  <c r="S27" s="1"/>
  <c r="Q28"/>
  <c r="S28" s="1"/>
  <c r="Q29"/>
  <c r="S29" s="1"/>
  <c r="Q30"/>
  <c r="S30" s="1"/>
  <c r="Q31"/>
  <c r="S31" s="1"/>
  <c r="Q32"/>
  <c r="S32" s="1"/>
  <c r="Q33"/>
  <c r="S33" s="1"/>
  <c r="Q34"/>
  <c r="S34" s="1"/>
  <c r="Q35"/>
  <c r="S35" s="1"/>
  <c r="Q36"/>
  <c r="S36" s="1"/>
  <c r="Q37"/>
  <c r="S37" s="1"/>
  <c r="Q38"/>
  <c r="S38" s="1"/>
  <c r="Q39"/>
  <c r="S39" s="1"/>
  <c r="Q40"/>
  <c r="S40" s="1"/>
  <c r="Q41"/>
  <c r="S41" s="1"/>
  <c r="Q42"/>
  <c r="S42" s="1"/>
  <c r="Q43"/>
  <c r="S43" s="1"/>
  <c r="Q44"/>
  <c r="S44" s="1"/>
  <c r="Q45"/>
  <c r="S45" s="1"/>
  <c r="Q46"/>
  <c r="S46" s="1"/>
  <c r="Q47"/>
  <c r="S47" s="1"/>
  <c r="Q48"/>
  <c r="S48" s="1"/>
  <c r="Q49"/>
  <c r="S49" s="1"/>
  <c r="Q50"/>
  <c r="S50" s="1"/>
  <c r="Q51"/>
  <c r="S51" s="1"/>
  <c r="Q52"/>
  <c r="S52" s="1"/>
  <c r="Q53"/>
  <c r="S53" s="1"/>
  <c r="Q54"/>
  <c r="S54" s="1"/>
  <c r="Q55"/>
  <c r="S55" s="1"/>
  <c r="Q56"/>
  <c r="S56" s="1"/>
  <c r="Q57"/>
  <c r="S57" s="1"/>
  <c r="Q58"/>
  <c r="S58" s="1"/>
  <c r="Q59"/>
  <c r="S59" s="1"/>
  <c r="Q60"/>
  <c r="S60" s="1"/>
  <c r="Q61"/>
  <c r="S61" s="1"/>
  <c r="Q62"/>
  <c r="S62" s="1"/>
  <c r="Q63"/>
  <c r="S63" s="1"/>
  <c r="Q64"/>
  <c r="S64" s="1"/>
  <c r="Q65"/>
  <c r="S65" s="1"/>
  <c r="Q66"/>
  <c r="S66" s="1"/>
  <c r="Q67"/>
  <c r="S67" s="1"/>
  <c r="Q68"/>
  <c r="S68" s="1"/>
  <c r="Q69"/>
  <c r="S69" s="1"/>
  <c r="Q70"/>
  <c r="S70" s="1"/>
  <c r="Q71"/>
  <c r="S71" s="1"/>
  <c r="Q72"/>
  <c r="S72" s="1"/>
  <c r="Q73"/>
  <c r="S73" s="1"/>
  <c r="Q74"/>
  <c r="S74" s="1"/>
  <c r="Q75"/>
  <c r="S75" s="1"/>
  <c r="Q76"/>
  <c r="S76" s="1"/>
  <c r="Q77"/>
  <c r="S77" s="1"/>
  <c r="Q78"/>
  <c r="S78" s="1"/>
  <c r="Q79"/>
  <c r="S79" s="1"/>
  <c r="Q80"/>
  <c r="S80" s="1"/>
  <c r="Q81"/>
  <c r="S81" s="1"/>
  <c r="Q82"/>
  <c r="S82" s="1"/>
  <c r="Q83"/>
  <c r="S83" s="1"/>
  <c r="Q84"/>
  <c r="S84" s="1"/>
  <c r="Q146"/>
  <c r="S146" s="1"/>
  <c r="S133" i="20"/>
  <c r="P17" i="22"/>
  <c r="N18"/>
  <c r="P18" s="1"/>
  <c r="R18" s="1"/>
  <c r="N19"/>
  <c r="P19" s="1"/>
  <c r="R19" s="1"/>
  <c r="N20"/>
  <c r="P20" s="1"/>
  <c r="R20" s="1"/>
  <c r="N21"/>
  <c r="P21" s="1"/>
  <c r="R21" s="1"/>
  <c r="N22"/>
  <c r="P22" s="1"/>
  <c r="R22" s="1"/>
  <c r="N23"/>
  <c r="P23" s="1"/>
  <c r="R23" s="1"/>
  <c r="N24"/>
  <c r="P24" s="1"/>
  <c r="R24" s="1"/>
  <c r="N25"/>
  <c r="P25" s="1"/>
  <c r="R25" s="1"/>
  <c r="N26"/>
  <c r="P26" s="1"/>
  <c r="R26" s="1"/>
  <c r="N27"/>
  <c r="P27" s="1"/>
  <c r="R27" s="1"/>
  <c r="N28"/>
  <c r="P28" s="1"/>
  <c r="R28" s="1"/>
  <c r="N29"/>
  <c r="P29" s="1"/>
  <c r="R29" s="1"/>
  <c r="N30"/>
  <c r="P30" s="1"/>
  <c r="R30" s="1"/>
  <c r="N31"/>
  <c r="P31" s="1"/>
  <c r="R31" s="1"/>
  <c r="N32"/>
  <c r="P32" s="1"/>
  <c r="R32" s="1"/>
  <c r="N33"/>
  <c r="P33" s="1"/>
  <c r="R33" s="1"/>
  <c r="N34"/>
  <c r="P34" s="1"/>
  <c r="R34" s="1"/>
  <c r="N35"/>
  <c r="P35" s="1"/>
  <c r="R35" s="1"/>
  <c r="N36"/>
  <c r="P36" s="1"/>
  <c r="R36" s="1"/>
  <c r="N37"/>
  <c r="P37" s="1"/>
  <c r="R37" s="1"/>
  <c r="N38"/>
  <c r="P38" s="1"/>
  <c r="R38" s="1"/>
  <c r="N39"/>
  <c r="P39" s="1"/>
  <c r="R39" s="1"/>
  <c r="N40"/>
  <c r="P40" s="1"/>
  <c r="R40" s="1"/>
  <c r="N41"/>
  <c r="P41" s="1"/>
  <c r="R41" s="1"/>
  <c r="N42"/>
  <c r="P42" s="1"/>
  <c r="R42" s="1"/>
  <c r="N43"/>
  <c r="P43" s="1"/>
  <c r="R43" s="1"/>
  <c r="N44"/>
  <c r="P44" s="1"/>
  <c r="R44" s="1"/>
  <c r="N45"/>
  <c r="P45" s="1"/>
  <c r="R45" s="1"/>
  <c r="N46"/>
  <c r="P46" s="1"/>
  <c r="R46" s="1"/>
  <c r="N47"/>
  <c r="P47" s="1"/>
  <c r="R47" s="1"/>
  <c r="N48"/>
  <c r="P48" s="1"/>
  <c r="R48" s="1"/>
  <c r="N49"/>
  <c r="P49" s="1"/>
  <c r="R49" s="1"/>
  <c r="N50"/>
  <c r="P50" s="1"/>
  <c r="R50" s="1"/>
  <c r="N51"/>
  <c r="P51" s="1"/>
  <c r="R51" s="1"/>
  <c r="N52"/>
  <c r="P52" s="1"/>
  <c r="R52" s="1"/>
  <c r="N53"/>
  <c r="P53" s="1"/>
  <c r="R53" s="1"/>
  <c r="N54"/>
  <c r="P54" s="1"/>
  <c r="R54" s="1"/>
  <c r="N55"/>
  <c r="P55" s="1"/>
  <c r="R55" s="1"/>
  <c r="N56"/>
  <c r="P56" s="1"/>
  <c r="R56" s="1"/>
  <c r="N57"/>
  <c r="P57" s="1"/>
  <c r="R57" s="1"/>
  <c r="N58"/>
  <c r="P58" s="1"/>
  <c r="R58" s="1"/>
  <c r="N59"/>
  <c r="P59" s="1"/>
  <c r="R59" s="1"/>
  <c r="N60"/>
  <c r="P60" s="1"/>
  <c r="R60" s="1"/>
  <c r="N61"/>
  <c r="P61" s="1"/>
  <c r="R61" s="1"/>
  <c r="N62"/>
  <c r="P62" s="1"/>
  <c r="R62" s="1"/>
  <c r="N63"/>
  <c r="P63" s="1"/>
  <c r="R63" s="1"/>
  <c r="N64"/>
  <c r="P64" s="1"/>
  <c r="R64" s="1"/>
  <c r="N65"/>
  <c r="P65" s="1"/>
  <c r="R65" s="1"/>
  <c r="N66"/>
  <c r="P66" s="1"/>
  <c r="R66" s="1"/>
  <c r="N67"/>
  <c r="P67" s="1"/>
  <c r="R67" s="1"/>
  <c r="N68"/>
  <c r="P68" s="1"/>
  <c r="R68" s="1"/>
  <c r="N69"/>
  <c r="P69" s="1"/>
  <c r="R69" s="1"/>
  <c r="N70"/>
  <c r="P70" s="1"/>
  <c r="R70" s="1"/>
  <c r="N71"/>
  <c r="P71" s="1"/>
  <c r="R71" s="1"/>
  <c r="N72"/>
  <c r="P72" s="1"/>
  <c r="R72" s="1"/>
  <c r="N73"/>
  <c r="P73" s="1"/>
  <c r="R73" s="1"/>
  <c r="N74"/>
  <c r="P74" s="1"/>
  <c r="R74" s="1"/>
  <c r="N75"/>
  <c r="P75" s="1"/>
  <c r="R75" s="1"/>
  <c r="N76"/>
  <c r="P76" s="1"/>
  <c r="R76" s="1"/>
  <c r="N77"/>
  <c r="P77" s="1"/>
  <c r="R77" s="1"/>
  <c r="N78"/>
  <c r="P78" s="1"/>
  <c r="R78" s="1"/>
  <c r="N79"/>
  <c r="P79" s="1"/>
  <c r="R79" s="1"/>
  <c r="N80"/>
  <c r="P80" s="1"/>
  <c r="R80" s="1"/>
  <c r="N81"/>
  <c r="P81" s="1"/>
  <c r="R81" s="1"/>
  <c r="N82"/>
  <c r="P82" s="1"/>
  <c r="R82" s="1"/>
  <c r="N83"/>
  <c r="P83" s="1"/>
  <c r="R83" s="1"/>
  <c r="N84"/>
  <c r="P84" s="1"/>
  <c r="R84" s="1"/>
  <c r="N85"/>
  <c r="P85" s="1"/>
  <c r="R85" s="1"/>
  <c r="N86"/>
  <c r="P86" s="1"/>
  <c r="R86" s="1"/>
  <c r="N87"/>
  <c r="P87" s="1"/>
  <c r="R87" s="1"/>
  <c r="N88"/>
  <c r="P88" s="1"/>
  <c r="R88" s="1"/>
  <c r="N89"/>
  <c r="P89" s="1"/>
  <c r="R89" s="1"/>
  <c r="N90"/>
  <c r="P90" s="1"/>
  <c r="R90" s="1"/>
  <c r="N91"/>
  <c r="P91" s="1"/>
  <c r="R91" s="1"/>
  <c r="N92"/>
  <c r="P92" s="1"/>
  <c r="R92" s="1"/>
  <c r="N93"/>
  <c r="P93" s="1"/>
  <c r="R93" s="1"/>
  <c r="N94"/>
  <c r="P94" s="1"/>
  <c r="R94" s="1"/>
  <c r="N95"/>
  <c r="P95" s="1"/>
  <c r="R95" s="1"/>
  <c r="N96"/>
  <c r="P96" s="1"/>
  <c r="R96" s="1"/>
  <c r="N97"/>
  <c r="P97" s="1"/>
  <c r="R97" s="1"/>
  <c r="N98"/>
  <c r="P98" s="1"/>
  <c r="R98" s="1"/>
  <c r="N99"/>
  <c r="P99" s="1"/>
  <c r="R99" s="1"/>
  <c r="N100"/>
  <c r="P100" s="1"/>
  <c r="R100" s="1"/>
  <c r="N101"/>
  <c r="P101" s="1"/>
  <c r="R101" s="1"/>
  <c r="N102"/>
  <c r="P102" s="1"/>
  <c r="R102" s="1"/>
  <c r="N103"/>
  <c r="P103" s="1"/>
  <c r="R103" s="1"/>
  <c r="N104"/>
  <c r="P104" s="1"/>
  <c r="R104" s="1"/>
  <c r="N105"/>
  <c r="P105" s="1"/>
  <c r="R105" s="1"/>
  <c r="N106"/>
  <c r="P106" s="1"/>
  <c r="R106" s="1"/>
  <c r="N107"/>
  <c r="P107" s="1"/>
  <c r="R107" s="1"/>
  <c r="N108"/>
  <c r="P108" s="1"/>
  <c r="R108" s="1"/>
  <c r="N109"/>
  <c r="P109" s="1"/>
  <c r="R109" s="1"/>
  <c r="N110"/>
  <c r="P110" s="1"/>
  <c r="R110" s="1"/>
  <c r="N111"/>
  <c r="P111" s="1"/>
  <c r="R111" s="1"/>
  <c r="N112"/>
  <c r="P112" s="1"/>
  <c r="R112" s="1"/>
  <c r="N113"/>
  <c r="P113" s="1"/>
  <c r="R113" s="1"/>
  <c r="N114"/>
  <c r="P114" s="1"/>
  <c r="R114" s="1"/>
  <c r="N115"/>
  <c r="P115" s="1"/>
  <c r="R115" s="1"/>
  <c r="N116"/>
  <c r="P116" s="1"/>
  <c r="R116" s="1"/>
  <c r="N117"/>
  <c r="P117" s="1"/>
  <c r="R117" s="1"/>
  <c r="N118"/>
  <c r="P118" s="1"/>
  <c r="R118" s="1"/>
  <c r="N119"/>
  <c r="P119" s="1"/>
  <c r="R119" s="1"/>
  <c r="N120"/>
  <c r="P120" s="1"/>
  <c r="R120" s="1"/>
  <c r="N121"/>
  <c r="P121" s="1"/>
  <c r="R121" s="1"/>
  <c r="N122"/>
  <c r="P122" s="1"/>
  <c r="R122" s="1"/>
  <c r="N123"/>
  <c r="P123" s="1"/>
  <c r="R123" s="1"/>
  <c r="N124"/>
  <c r="P124" s="1"/>
  <c r="R124" s="1"/>
  <c r="N125"/>
  <c r="P125" s="1"/>
  <c r="R125" s="1"/>
  <c r="N126"/>
  <c r="P126" s="1"/>
  <c r="R126" s="1"/>
  <c r="N127"/>
  <c r="P127" s="1"/>
  <c r="R127" s="1"/>
  <c r="N128"/>
  <c r="P128" s="1"/>
  <c r="R128" s="1"/>
  <c r="N129"/>
  <c r="P129" s="1"/>
  <c r="R129" s="1"/>
  <c r="N130"/>
  <c r="P130" s="1"/>
  <c r="R130" s="1"/>
  <c r="N131"/>
  <c r="P131" s="1"/>
  <c r="R131" s="1"/>
  <c r="N132"/>
  <c r="P132" s="1"/>
  <c r="R132" s="1"/>
  <c r="N133"/>
  <c r="P133" s="1"/>
  <c r="R133" s="1"/>
  <c r="N134"/>
  <c r="P134" s="1"/>
  <c r="R134" s="1"/>
  <c r="N135"/>
  <c r="P135" s="1"/>
  <c r="R135" s="1"/>
  <c r="N136"/>
  <c r="P136" s="1"/>
  <c r="R136" s="1"/>
  <c r="N137"/>
  <c r="P137" s="1"/>
  <c r="R137" s="1"/>
  <c r="N138"/>
  <c r="P138" s="1"/>
  <c r="R138" s="1"/>
  <c r="N139"/>
  <c r="P139" s="1"/>
  <c r="R139" s="1"/>
  <c r="N140"/>
  <c r="P140" s="1"/>
  <c r="R140" s="1"/>
  <c r="N141"/>
  <c r="P141" s="1"/>
  <c r="R141" s="1"/>
  <c r="N142"/>
  <c r="P142" s="1"/>
  <c r="R142" s="1"/>
  <c r="N143"/>
  <c r="P143" s="1"/>
  <c r="R143" s="1"/>
  <c r="N144"/>
  <c r="P144" s="1"/>
  <c r="R144" s="1"/>
  <c r="N145"/>
  <c r="P145" s="1"/>
  <c r="R145" s="1"/>
  <c r="N146"/>
  <c r="P146" s="1"/>
  <c r="R146" s="1"/>
  <c r="N147"/>
  <c r="P147" s="1"/>
  <c r="R147" s="1"/>
  <c r="M146"/>
  <c r="K148"/>
  <c r="I148"/>
  <c r="H148"/>
  <c r="G148"/>
  <c r="F148"/>
  <c r="E148"/>
  <c r="B148"/>
  <c r="D147"/>
  <c r="D148" s="1"/>
  <c r="C147"/>
  <c r="J146"/>
  <c r="T145"/>
  <c r="T143"/>
  <c r="T142"/>
  <c r="T141"/>
  <c r="T140"/>
  <c r="T139"/>
  <c r="T138"/>
  <c r="T137"/>
  <c r="T136"/>
  <c r="T135"/>
  <c r="T134"/>
  <c r="T133"/>
  <c r="T132"/>
  <c r="T131"/>
  <c r="T130"/>
  <c r="T129"/>
  <c r="T128"/>
  <c r="T127"/>
  <c r="T126"/>
  <c r="T125"/>
  <c r="T124"/>
  <c r="T123"/>
  <c r="T122"/>
  <c r="T121"/>
  <c r="T120"/>
  <c r="T119"/>
  <c r="T118"/>
  <c r="T117"/>
  <c r="T116"/>
  <c r="T115"/>
  <c r="T114"/>
  <c r="T113"/>
  <c r="T112"/>
  <c r="T111"/>
  <c r="T110"/>
  <c r="T109"/>
  <c r="T108"/>
  <c r="T107"/>
  <c r="T106"/>
  <c r="T105"/>
  <c r="T104"/>
  <c r="T103"/>
  <c r="T102"/>
  <c r="T101"/>
  <c r="T100"/>
  <c r="T99"/>
  <c r="Q98"/>
  <c r="S98" s="1"/>
  <c r="T97"/>
  <c r="T96"/>
  <c r="T95"/>
  <c r="T94"/>
  <c r="T93"/>
  <c r="T92"/>
  <c r="T91"/>
  <c r="T90"/>
  <c r="T89"/>
  <c r="Q88"/>
  <c r="S88" s="1"/>
  <c r="T87"/>
  <c r="T86"/>
  <c r="T85"/>
  <c r="T84"/>
  <c r="T83"/>
  <c r="T82"/>
  <c r="T81"/>
  <c r="T80"/>
  <c r="T79"/>
  <c r="T78"/>
  <c r="T77"/>
  <c r="T76"/>
  <c r="T75"/>
  <c r="T74"/>
  <c r="T73"/>
  <c r="T72"/>
  <c r="T71"/>
  <c r="Q70"/>
  <c r="S70" s="1"/>
  <c r="T69"/>
  <c r="T68"/>
  <c r="T67"/>
  <c r="T66"/>
  <c r="T65"/>
  <c r="T64"/>
  <c r="T63"/>
  <c r="T62"/>
  <c r="T61"/>
  <c r="T60"/>
  <c r="T59"/>
  <c r="T58"/>
  <c r="T57"/>
  <c r="T56"/>
  <c r="T55"/>
  <c r="T54"/>
  <c r="T53"/>
  <c r="T52"/>
  <c r="T51"/>
  <c r="T50"/>
  <c r="T49"/>
  <c r="T48"/>
  <c r="T47"/>
  <c r="T46"/>
  <c r="T45"/>
  <c r="T44"/>
  <c r="T43"/>
  <c r="T42"/>
  <c r="T41"/>
  <c r="T40"/>
  <c r="Q39"/>
  <c r="S39" s="1"/>
  <c r="Q38"/>
  <c r="S38" s="1"/>
  <c r="Q37"/>
  <c r="S37" s="1"/>
  <c r="Q36"/>
  <c r="S36" s="1"/>
  <c r="Q35"/>
  <c r="S35" s="1"/>
  <c r="Q34"/>
  <c r="S34" s="1"/>
  <c r="T33"/>
  <c r="Q32"/>
  <c r="S32" s="1"/>
  <c r="T31"/>
  <c r="T30"/>
  <c r="Q29"/>
  <c r="S29" s="1"/>
  <c r="T28"/>
  <c r="Q27"/>
  <c r="S27" s="1"/>
  <c r="Q26"/>
  <c r="S26" s="1"/>
  <c r="T25"/>
  <c r="Q24"/>
  <c r="S24" s="1"/>
  <c r="T23"/>
  <c r="Q22"/>
  <c r="S22" s="1"/>
  <c r="T21"/>
  <c r="T20"/>
  <c r="T19"/>
  <c r="T18"/>
  <c r="T17"/>
  <c r="Q16"/>
  <c r="K15"/>
  <c r="J15"/>
  <c r="I15"/>
  <c r="H15"/>
  <c r="G15"/>
  <c r="F15"/>
  <c r="E15"/>
  <c r="D15"/>
  <c r="C15"/>
  <c r="B15"/>
  <c r="Q14"/>
  <c r="O14"/>
  <c r="P14" s="1"/>
  <c r="N14"/>
  <c r="M14"/>
  <c r="L14"/>
  <c r="Q13"/>
  <c r="O13"/>
  <c r="P13" s="1"/>
  <c r="N13"/>
  <c r="M13"/>
  <c r="L13"/>
  <c r="Q12"/>
  <c r="O12"/>
  <c r="P12" s="1"/>
  <c r="N12"/>
  <c r="M12"/>
  <c r="L12"/>
  <c r="Q11"/>
  <c r="O11"/>
  <c r="P11" s="1"/>
  <c r="N11"/>
  <c r="M11"/>
  <c r="L11"/>
  <c r="Q10"/>
  <c r="O10"/>
  <c r="P10" s="1"/>
  <c r="N10"/>
  <c r="M10"/>
  <c r="L10"/>
  <c r="Q9"/>
  <c r="O9"/>
  <c r="P9" s="1"/>
  <c r="N9"/>
  <c r="M9"/>
  <c r="L9"/>
  <c r="Q8"/>
  <c r="O8"/>
  <c r="P8" s="1"/>
  <c r="N8"/>
  <c r="M8"/>
  <c r="L8"/>
  <c r="Q7"/>
  <c r="O7"/>
  <c r="P7" s="1"/>
  <c r="N7"/>
  <c r="M7"/>
  <c r="L7"/>
  <c r="Q6"/>
  <c r="O6"/>
  <c r="P6" s="1"/>
  <c r="N6"/>
  <c r="M6"/>
  <c r="L6"/>
  <c r="Q5"/>
  <c r="O5"/>
  <c r="P5" s="1"/>
  <c r="N5"/>
  <c r="M5"/>
  <c r="L5"/>
  <c r="Q4"/>
  <c r="Q15" s="1"/>
  <c r="O4"/>
  <c r="P4" s="1"/>
  <c r="P15" s="1"/>
  <c r="N4"/>
  <c r="N15" s="1"/>
  <c r="M4"/>
  <c r="M15" s="1"/>
  <c r="L4"/>
  <c r="L15" s="1"/>
  <c r="L146" l="1"/>
  <c r="T146" s="1"/>
  <c r="L158" i="23"/>
  <c r="Q148"/>
  <c r="S148" s="1"/>
  <c r="C148" i="22"/>
  <c r="L147"/>
  <c r="Q147" s="1"/>
  <c r="S147" s="1"/>
  <c r="R17"/>
  <c r="P148"/>
  <c r="R148" s="1"/>
  <c r="P148" i="23"/>
  <c r="N158"/>
  <c r="Q113" i="22"/>
  <c r="S113" s="1"/>
  <c r="Q96"/>
  <c r="S96" s="1"/>
  <c r="Q67"/>
  <c r="S67" s="1"/>
  <c r="Q40"/>
  <c r="S40" s="1"/>
  <c r="Q33"/>
  <c r="S33" s="1"/>
  <c r="Q30"/>
  <c r="S30" s="1"/>
  <c r="T34"/>
  <c r="T32"/>
  <c r="Q111"/>
  <c r="S111" s="1"/>
  <c r="Q68"/>
  <c r="S68" s="1"/>
  <c r="Q66"/>
  <c r="S66" s="1"/>
  <c r="Q144"/>
  <c r="S144" s="1"/>
  <c r="Q136"/>
  <c r="S136" s="1"/>
  <c r="Q60"/>
  <c r="S60" s="1"/>
  <c r="Q61"/>
  <c r="S61" s="1"/>
  <c r="Q85"/>
  <c r="S85" s="1"/>
  <c r="Q84"/>
  <c r="S84" s="1"/>
  <c r="Q25"/>
  <c r="S25" s="1"/>
  <c r="Q116"/>
  <c r="S116" s="1"/>
  <c r="Q97"/>
  <c r="S97" s="1"/>
  <c r="Q69"/>
  <c r="S69" s="1"/>
  <c r="Q31"/>
  <c r="S31" s="1"/>
  <c r="Q112"/>
  <c r="S112" s="1"/>
  <c r="Q110"/>
  <c r="S110" s="1"/>
  <c r="Q95"/>
  <c r="S95" s="1"/>
  <c r="Q17"/>
  <c r="S17" s="1"/>
  <c r="T29"/>
  <c r="Q109"/>
  <c r="S109" s="1"/>
  <c r="Q28"/>
  <c r="S28" s="1"/>
  <c r="T27"/>
  <c r="Q104"/>
  <c r="S104" s="1"/>
  <c r="Q65"/>
  <c r="S65" s="1"/>
  <c r="T26"/>
  <c r="Q103"/>
  <c r="S103" s="1"/>
  <c r="Q94"/>
  <c r="S94" s="1"/>
  <c r="Q23"/>
  <c r="S23" s="1"/>
  <c r="Q21"/>
  <c r="S21" s="1"/>
  <c r="T24"/>
  <c r="T22"/>
  <c r="Q87"/>
  <c r="S87" s="1"/>
  <c r="Q93"/>
  <c r="S93" s="1"/>
  <c r="Q64"/>
  <c r="S64" s="1"/>
  <c r="Q108"/>
  <c r="S108" s="1"/>
  <c r="Q20"/>
  <c r="S20" s="1"/>
  <c r="Q92"/>
  <c r="S92" s="1"/>
  <c r="Q63"/>
  <c r="S63" s="1"/>
  <c r="Q62"/>
  <c r="S62" s="1"/>
  <c r="Q140"/>
  <c r="S140" s="1"/>
  <c r="Q139"/>
  <c r="S139" s="1"/>
  <c r="Q138"/>
  <c r="S138" s="1"/>
  <c r="Q137"/>
  <c r="S137" s="1"/>
  <c r="Q107"/>
  <c r="S107" s="1"/>
  <c r="Q146"/>
  <c r="S146" s="1"/>
  <c r="Q145"/>
  <c r="S145" s="1"/>
  <c r="Q135"/>
  <c r="S135" s="1"/>
  <c r="Q134"/>
  <c r="S134" s="1"/>
  <c r="Q58"/>
  <c r="S58" s="1"/>
  <c r="Q56"/>
  <c r="S56" s="1"/>
  <c r="Q59"/>
  <c r="S59" s="1"/>
  <c r="Q57"/>
  <c r="S57" s="1"/>
  <c r="Q133"/>
  <c r="S133" s="1"/>
  <c r="Q132"/>
  <c r="S132" s="1"/>
  <c r="Q54"/>
  <c r="S54" s="1"/>
  <c r="Q55"/>
  <c r="S55" s="1"/>
  <c r="Q53"/>
  <c r="S53" s="1"/>
  <c r="Q143"/>
  <c r="S143" s="1"/>
  <c r="Q131"/>
  <c r="S131" s="1"/>
  <c r="Q130"/>
  <c r="S130" s="1"/>
  <c r="Q128"/>
  <c r="S128" s="1"/>
  <c r="Q129"/>
  <c r="S129" s="1"/>
  <c r="Q83"/>
  <c r="S83" s="1"/>
  <c r="Q82"/>
  <c r="S82" s="1"/>
  <c r="Q52"/>
  <c r="S52" s="1"/>
  <c r="Q81"/>
  <c r="S81" s="1"/>
  <c r="Q127"/>
  <c r="S127" s="1"/>
  <c r="Q125"/>
  <c r="S125" s="1"/>
  <c r="Q126"/>
  <c r="S126" s="1"/>
  <c r="Q80"/>
  <c r="S80" s="1"/>
  <c r="Q91"/>
  <c r="S91" s="1"/>
  <c r="Q86"/>
  <c r="S86" s="1"/>
  <c r="Q102"/>
  <c r="S102" s="1"/>
  <c r="Q51"/>
  <c r="S51" s="1"/>
  <c r="Q123"/>
  <c r="S123" s="1"/>
  <c r="Q124"/>
  <c r="S124" s="1"/>
  <c r="Q122"/>
  <c r="S122" s="1"/>
  <c r="Q142"/>
  <c r="S142" s="1"/>
  <c r="Q50"/>
  <c r="S50" s="1"/>
  <c r="Q79"/>
  <c r="S79" s="1"/>
  <c r="Q121"/>
  <c r="S121" s="1"/>
  <c r="Q19"/>
  <c r="S19" s="1"/>
  <c r="Q49"/>
  <c r="S49" s="1"/>
  <c r="Q141"/>
  <c r="S141" s="1"/>
  <c r="Q120"/>
  <c r="S120" s="1"/>
  <c r="Q119"/>
  <c r="S119" s="1"/>
  <c r="Q118"/>
  <c r="S118" s="1"/>
  <c r="Q78"/>
  <c r="S78" s="1"/>
  <c r="Q48"/>
  <c r="S48" s="1"/>
  <c r="Q47"/>
  <c r="S47" s="1"/>
  <c r="Q117"/>
  <c r="S117" s="1"/>
  <c r="Q90"/>
  <c r="S90" s="1"/>
  <c r="Q46"/>
  <c r="S46" s="1"/>
  <c r="Q45"/>
  <c r="S45" s="1"/>
  <c r="Q77"/>
  <c r="S77" s="1"/>
  <c r="Q44"/>
  <c r="S44" s="1"/>
  <c r="Q115"/>
  <c r="S115" s="1"/>
  <c r="Q18"/>
  <c r="S18" s="1"/>
  <c r="Q106"/>
  <c r="S106" s="1"/>
  <c r="Q76"/>
  <c r="S76" s="1"/>
  <c r="Q74"/>
  <c r="S74" s="1"/>
  <c r="Q75"/>
  <c r="S75" s="1"/>
  <c r="Q42"/>
  <c r="S42" s="1"/>
  <c r="Q43"/>
  <c r="S43" s="1"/>
  <c r="Q72"/>
  <c r="S72" s="1"/>
  <c r="Q73"/>
  <c r="S73" s="1"/>
  <c r="Q41"/>
  <c r="S41" s="1"/>
  <c r="Q89"/>
  <c r="S89" s="1"/>
  <c r="Q114"/>
  <c r="S114" s="1"/>
  <c r="Q71"/>
  <c r="S71" s="1"/>
  <c r="T39"/>
  <c r="Q101"/>
  <c r="S101" s="1"/>
  <c r="Q105"/>
  <c r="S105" s="1"/>
  <c r="Q100"/>
  <c r="S100" s="1"/>
  <c r="T38"/>
  <c r="T37"/>
  <c r="T36"/>
  <c r="T70"/>
  <c r="Q99"/>
  <c r="S99" s="1"/>
  <c r="T88"/>
  <c r="T98"/>
  <c r="N148"/>
  <c r="T35"/>
  <c r="O15"/>
  <c r="J148"/>
  <c r="N132" i="20"/>
  <c r="L130"/>
  <c r="L133"/>
  <c r="T130"/>
  <c r="M134"/>
  <c r="D11" i="21"/>
  <c r="H11" s="1"/>
  <c r="N4" i="20"/>
  <c r="V4" s="1"/>
  <c r="N5"/>
  <c r="N6"/>
  <c r="N7"/>
  <c r="N8"/>
  <c r="N9"/>
  <c r="N10"/>
  <c r="N11"/>
  <c r="N12"/>
  <c r="N13"/>
  <c r="N14"/>
  <c r="N15"/>
  <c r="N17"/>
  <c r="N18"/>
  <c r="N19"/>
  <c r="N20"/>
  <c r="N21"/>
  <c r="N22"/>
  <c r="N23"/>
  <c r="N24"/>
  <c r="N25"/>
  <c r="N26"/>
  <c r="N27"/>
  <c r="N28"/>
  <c r="N29"/>
  <c r="N36"/>
  <c r="N37"/>
  <c r="N40"/>
  <c r="N44"/>
  <c r="N45"/>
  <c r="N46"/>
  <c r="N47"/>
  <c r="N48"/>
  <c r="N49"/>
  <c r="N50"/>
  <c r="N51"/>
  <c r="N52"/>
  <c r="N53"/>
  <c r="N54"/>
  <c r="N55"/>
  <c r="N56"/>
  <c r="N57"/>
  <c r="N59"/>
  <c r="N60"/>
  <c r="N61"/>
  <c r="N62"/>
  <c r="N63"/>
  <c r="N64"/>
  <c r="N65"/>
  <c r="N66"/>
  <c r="N67"/>
  <c r="N68"/>
  <c r="N69"/>
  <c r="N70"/>
  <c r="N71"/>
  <c r="N72"/>
  <c r="N73"/>
  <c r="N74"/>
  <c r="N75"/>
  <c r="N76"/>
  <c r="N77"/>
  <c r="N78"/>
  <c r="N79"/>
  <c r="N80"/>
  <c r="N82"/>
  <c r="N83"/>
  <c r="N84"/>
  <c r="N85"/>
  <c r="N86"/>
  <c r="N87"/>
  <c r="N88"/>
  <c r="N89"/>
  <c r="N95"/>
  <c r="N98"/>
  <c r="N99"/>
  <c r="N100"/>
  <c r="N103"/>
  <c r="N105"/>
  <c r="N107"/>
  <c r="N108"/>
  <c r="N109"/>
  <c r="N110"/>
  <c r="N114"/>
  <c r="N118"/>
  <c r="N121"/>
  <c r="N122"/>
  <c r="N123"/>
  <c r="N124"/>
  <c r="N126"/>
  <c r="N127"/>
  <c r="N130"/>
  <c r="N131"/>
  <c r="N133"/>
  <c r="N3"/>
  <c r="V3" s="1"/>
  <c r="R148" i="23" l="1"/>
  <c r="P158"/>
  <c r="L148" i="22"/>
  <c r="Q148" s="1"/>
  <c r="S148" s="1"/>
  <c r="P131" i="20"/>
  <c r="R131" s="1"/>
  <c r="V131"/>
  <c r="P127"/>
  <c r="R127" s="1"/>
  <c r="V127"/>
  <c r="P124"/>
  <c r="R124" s="1"/>
  <c r="V124"/>
  <c r="P122"/>
  <c r="R122" s="1"/>
  <c r="V122"/>
  <c r="P118"/>
  <c r="R118" s="1"/>
  <c r="V118"/>
  <c r="P110"/>
  <c r="R110" s="1"/>
  <c r="V110"/>
  <c r="P108"/>
  <c r="R108" s="1"/>
  <c r="V108"/>
  <c r="P105"/>
  <c r="R105" s="1"/>
  <c r="V105"/>
  <c r="P100"/>
  <c r="R100" s="1"/>
  <c r="V100"/>
  <c r="P98"/>
  <c r="R98" s="1"/>
  <c r="V98"/>
  <c r="P89"/>
  <c r="R89" s="1"/>
  <c r="V89"/>
  <c r="P87"/>
  <c r="R87" s="1"/>
  <c r="V87"/>
  <c r="P85"/>
  <c r="R85" s="1"/>
  <c r="V85"/>
  <c r="P83"/>
  <c r="R83" s="1"/>
  <c r="V83"/>
  <c r="P80"/>
  <c r="R80" s="1"/>
  <c r="V80"/>
  <c r="P78"/>
  <c r="R78" s="1"/>
  <c r="V78"/>
  <c r="P76"/>
  <c r="R76" s="1"/>
  <c r="V76"/>
  <c r="P74"/>
  <c r="R74" s="1"/>
  <c r="V74"/>
  <c r="P72"/>
  <c r="R72" s="1"/>
  <c r="V72"/>
  <c r="P70"/>
  <c r="R70" s="1"/>
  <c r="V70"/>
  <c r="P68"/>
  <c r="R68" s="1"/>
  <c r="V68"/>
  <c r="P66"/>
  <c r="R66" s="1"/>
  <c r="V66"/>
  <c r="P64"/>
  <c r="R64" s="1"/>
  <c r="V64"/>
  <c r="P62"/>
  <c r="R62" s="1"/>
  <c r="V62"/>
  <c r="P60"/>
  <c r="R60" s="1"/>
  <c r="V60"/>
  <c r="P57"/>
  <c r="R57" s="1"/>
  <c r="V57"/>
  <c r="P55"/>
  <c r="R55" s="1"/>
  <c r="V55"/>
  <c r="P53"/>
  <c r="R53" s="1"/>
  <c r="V53"/>
  <c r="P51"/>
  <c r="R51" s="1"/>
  <c r="V51"/>
  <c r="P49"/>
  <c r="R49" s="1"/>
  <c r="V49"/>
  <c r="P47"/>
  <c r="R47" s="1"/>
  <c r="V47"/>
  <c r="P45"/>
  <c r="R45" s="1"/>
  <c r="V45"/>
  <c r="P40"/>
  <c r="R40" s="1"/>
  <c r="V40"/>
  <c r="P36"/>
  <c r="R36" s="1"/>
  <c r="V36"/>
  <c r="P28"/>
  <c r="R28" s="1"/>
  <c r="V28"/>
  <c r="P26"/>
  <c r="R26" s="1"/>
  <c r="V26"/>
  <c r="P24"/>
  <c r="R24" s="1"/>
  <c r="V24"/>
  <c r="P22"/>
  <c r="R22" s="1"/>
  <c r="V22"/>
  <c r="P20"/>
  <c r="R20" s="1"/>
  <c r="V20"/>
  <c r="P18"/>
  <c r="R18" s="1"/>
  <c r="V18"/>
  <c r="P15"/>
  <c r="R15" s="1"/>
  <c r="V15"/>
  <c r="P13"/>
  <c r="R13" s="1"/>
  <c r="V13"/>
  <c r="P11"/>
  <c r="R11" s="1"/>
  <c r="V11"/>
  <c r="P9"/>
  <c r="R9" s="1"/>
  <c r="V9"/>
  <c r="P7"/>
  <c r="R7" s="1"/>
  <c r="V7"/>
  <c r="P5"/>
  <c r="R5" s="1"/>
  <c r="V5"/>
  <c r="P133"/>
  <c r="R133" s="1"/>
  <c r="V133"/>
  <c r="P130"/>
  <c r="R130" s="1"/>
  <c r="V130"/>
  <c r="P126"/>
  <c r="R126" s="1"/>
  <c r="V126"/>
  <c r="P123"/>
  <c r="R123" s="1"/>
  <c r="V123"/>
  <c r="P121"/>
  <c r="R121" s="1"/>
  <c r="V121"/>
  <c r="P114"/>
  <c r="R114" s="1"/>
  <c r="V114"/>
  <c r="P109"/>
  <c r="R109" s="1"/>
  <c r="V109"/>
  <c r="P107"/>
  <c r="R107" s="1"/>
  <c r="V107"/>
  <c r="P103"/>
  <c r="R103" s="1"/>
  <c r="V103"/>
  <c r="P99"/>
  <c r="R99" s="1"/>
  <c r="V99"/>
  <c r="P95"/>
  <c r="R95" s="1"/>
  <c r="V95"/>
  <c r="P88"/>
  <c r="R88" s="1"/>
  <c r="V88"/>
  <c r="P86"/>
  <c r="R86" s="1"/>
  <c r="V86"/>
  <c r="P84"/>
  <c r="R84" s="1"/>
  <c r="V84"/>
  <c r="P82"/>
  <c r="R82" s="1"/>
  <c r="V82"/>
  <c r="P79"/>
  <c r="R79" s="1"/>
  <c r="V79"/>
  <c r="P77"/>
  <c r="R77" s="1"/>
  <c r="V77"/>
  <c r="P75"/>
  <c r="R75" s="1"/>
  <c r="V75"/>
  <c r="P73"/>
  <c r="R73" s="1"/>
  <c r="V73"/>
  <c r="P71"/>
  <c r="R71" s="1"/>
  <c r="V71"/>
  <c r="P69"/>
  <c r="R69" s="1"/>
  <c r="V69"/>
  <c r="P67"/>
  <c r="R67" s="1"/>
  <c r="V67"/>
  <c r="P65"/>
  <c r="R65" s="1"/>
  <c r="V65"/>
  <c r="P63"/>
  <c r="R63" s="1"/>
  <c r="V63"/>
  <c r="P61"/>
  <c r="R61" s="1"/>
  <c r="V61"/>
  <c r="P59"/>
  <c r="R59" s="1"/>
  <c r="V59"/>
  <c r="P56"/>
  <c r="R56" s="1"/>
  <c r="V56"/>
  <c r="P54"/>
  <c r="R54" s="1"/>
  <c r="V54"/>
  <c r="P52"/>
  <c r="R52" s="1"/>
  <c r="V52"/>
  <c r="P50"/>
  <c r="R50" s="1"/>
  <c r="V50"/>
  <c r="P48"/>
  <c r="R48" s="1"/>
  <c r="V48"/>
  <c r="P46"/>
  <c r="R46" s="1"/>
  <c r="V46"/>
  <c r="P44"/>
  <c r="R44" s="1"/>
  <c r="V44"/>
  <c r="P37"/>
  <c r="R37" s="1"/>
  <c r="V37"/>
  <c r="P29"/>
  <c r="R29" s="1"/>
  <c r="V29"/>
  <c r="P27"/>
  <c r="R27" s="1"/>
  <c r="V27"/>
  <c r="P25"/>
  <c r="R25" s="1"/>
  <c r="V25"/>
  <c r="P23"/>
  <c r="R23" s="1"/>
  <c r="V23"/>
  <c r="P21"/>
  <c r="R21" s="1"/>
  <c r="V21"/>
  <c r="P19"/>
  <c r="R19" s="1"/>
  <c r="V19"/>
  <c r="P17"/>
  <c r="R17" s="1"/>
  <c r="V17"/>
  <c r="P14"/>
  <c r="R14" s="1"/>
  <c r="V14"/>
  <c r="P12"/>
  <c r="R12" s="1"/>
  <c r="V12"/>
  <c r="P10"/>
  <c r="R10" s="1"/>
  <c r="V10"/>
  <c r="P8"/>
  <c r="R8" s="1"/>
  <c r="V8"/>
  <c r="P6"/>
  <c r="R6" s="1"/>
  <c r="V6"/>
  <c r="P4"/>
  <c r="R4" s="1"/>
  <c r="P132"/>
  <c r="R132" s="1"/>
  <c r="V132"/>
  <c r="T147" i="22"/>
  <c r="T148" s="1"/>
  <c r="M148"/>
  <c r="P3" i="20"/>
  <c r="R3" s="1"/>
  <c r="J134"/>
  <c r="I134"/>
  <c r="H134"/>
  <c r="G134"/>
  <c r="D134"/>
  <c r="C134"/>
  <c r="B134"/>
  <c r="W134" s="1"/>
  <c r="T133"/>
  <c r="K132"/>
  <c r="K131"/>
  <c r="L131" s="1"/>
  <c r="K129"/>
  <c r="F129"/>
  <c r="K128"/>
  <c r="F128"/>
  <c r="K127"/>
  <c r="K126"/>
  <c r="K125"/>
  <c r="F125"/>
  <c r="K124"/>
  <c r="K123"/>
  <c r="L123" s="1"/>
  <c r="K122"/>
  <c r="K121"/>
  <c r="L121" s="1"/>
  <c r="T121" s="1"/>
  <c r="K120"/>
  <c r="F120"/>
  <c r="K119"/>
  <c r="F119"/>
  <c r="K118"/>
  <c r="K117"/>
  <c r="F117"/>
  <c r="K116"/>
  <c r="F116"/>
  <c r="K115"/>
  <c r="F115"/>
  <c r="K114"/>
  <c r="L114" s="1"/>
  <c r="K113"/>
  <c r="F113"/>
  <c r="K112"/>
  <c r="F112"/>
  <c r="K111"/>
  <c r="F111"/>
  <c r="K110"/>
  <c r="K109"/>
  <c r="K108"/>
  <c r="K107"/>
  <c r="L107" s="1"/>
  <c r="K106"/>
  <c r="F106"/>
  <c r="K105"/>
  <c r="K104"/>
  <c r="F104"/>
  <c r="K103"/>
  <c r="L103" s="1"/>
  <c r="T103" s="1"/>
  <c r="K102"/>
  <c r="F102"/>
  <c r="K101"/>
  <c r="F101"/>
  <c r="K100"/>
  <c r="K99"/>
  <c r="L99" s="1"/>
  <c r="K98"/>
  <c r="K97"/>
  <c r="L97" s="1"/>
  <c r="F97"/>
  <c r="K96"/>
  <c r="L96" s="1"/>
  <c r="F96"/>
  <c r="K95"/>
  <c r="K94"/>
  <c r="F94"/>
  <c r="K93"/>
  <c r="F93"/>
  <c r="K92"/>
  <c r="F92"/>
  <c r="K91"/>
  <c r="F91"/>
  <c r="K90"/>
  <c r="F90"/>
  <c r="K89"/>
  <c r="K88"/>
  <c r="L88" s="1"/>
  <c r="K87"/>
  <c r="K86"/>
  <c r="L86" s="1"/>
  <c r="T86" s="1"/>
  <c r="K85"/>
  <c r="K84"/>
  <c r="L84" s="1"/>
  <c r="K83"/>
  <c r="K82"/>
  <c r="K81"/>
  <c r="F81"/>
  <c r="K80"/>
  <c r="K79"/>
  <c r="L79" s="1"/>
  <c r="K78"/>
  <c r="K77"/>
  <c r="L77" s="1"/>
  <c r="T77" s="1"/>
  <c r="K76"/>
  <c r="K75"/>
  <c r="L75" s="1"/>
  <c r="K74"/>
  <c r="K73"/>
  <c r="K72"/>
  <c r="K71"/>
  <c r="L71" s="1"/>
  <c r="K70"/>
  <c r="T69"/>
  <c r="K69"/>
  <c r="L69" s="1"/>
  <c r="K68"/>
  <c r="K67"/>
  <c r="L67" s="1"/>
  <c r="K66"/>
  <c r="L66" s="1"/>
  <c r="K65"/>
  <c r="L65" s="1"/>
  <c r="K64"/>
  <c r="K63"/>
  <c r="L63" s="1"/>
  <c r="K62"/>
  <c r="K61"/>
  <c r="L61" s="1"/>
  <c r="K60"/>
  <c r="K59"/>
  <c r="L59" s="1"/>
  <c r="K58"/>
  <c r="F58"/>
  <c r="E58"/>
  <c r="K57"/>
  <c r="L57" s="1"/>
  <c r="K56"/>
  <c r="K55"/>
  <c r="L55" s="1"/>
  <c r="K54"/>
  <c r="K53"/>
  <c r="L53" s="1"/>
  <c r="K52"/>
  <c r="K51"/>
  <c r="L51" s="1"/>
  <c r="K50"/>
  <c r="K49"/>
  <c r="L49" s="1"/>
  <c r="K48"/>
  <c r="K47"/>
  <c r="L47" s="1"/>
  <c r="K46"/>
  <c r="K45"/>
  <c r="L45" s="1"/>
  <c r="K44"/>
  <c r="K43"/>
  <c r="F43"/>
  <c r="K42"/>
  <c r="F42"/>
  <c r="K41"/>
  <c r="F41"/>
  <c r="K40"/>
  <c r="L40" s="1"/>
  <c r="K39"/>
  <c r="L39" s="1"/>
  <c r="F39"/>
  <c r="K38"/>
  <c r="L38" s="1"/>
  <c r="F38"/>
  <c r="K37"/>
  <c r="L37" s="1"/>
  <c r="Q37" s="1"/>
  <c r="S37" s="1"/>
  <c r="K36"/>
  <c r="L36" s="1"/>
  <c r="K35"/>
  <c r="L35" s="1"/>
  <c r="F35"/>
  <c r="K34"/>
  <c r="L34" s="1"/>
  <c r="F34"/>
  <c r="K33"/>
  <c r="L33" s="1"/>
  <c r="F33"/>
  <c r="K32"/>
  <c r="L32" s="1"/>
  <c r="F32"/>
  <c r="K31"/>
  <c r="L31" s="1"/>
  <c r="F31"/>
  <c r="K30"/>
  <c r="L30" s="1"/>
  <c r="F30"/>
  <c r="K29"/>
  <c r="K28"/>
  <c r="L28" s="1"/>
  <c r="K27"/>
  <c r="L27" s="1"/>
  <c r="K26"/>
  <c r="L26" s="1"/>
  <c r="K25"/>
  <c r="L25" s="1"/>
  <c r="T25" s="1"/>
  <c r="K24"/>
  <c r="L24" s="1"/>
  <c r="K23"/>
  <c r="L23" s="1"/>
  <c r="K22"/>
  <c r="L22" s="1"/>
  <c r="K21"/>
  <c r="K20"/>
  <c r="L20" s="1"/>
  <c r="K19"/>
  <c r="L19" s="1"/>
  <c r="K18"/>
  <c r="L18" s="1"/>
  <c r="K17"/>
  <c r="L17" s="1"/>
  <c r="T17" s="1"/>
  <c r="K16"/>
  <c r="F16"/>
  <c r="K15"/>
  <c r="L15" s="1"/>
  <c r="K14"/>
  <c r="L14" s="1"/>
  <c r="K13"/>
  <c r="L13" s="1"/>
  <c r="K12"/>
  <c r="K11"/>
  <c r="L11" s="1"/>
  <c r="K10"/>
  <c r="L10" s="1"/>
  <c r="K9"/>
  <c r="L9" s="1"/>
  <c r="K8"/>
  <c r="L8" s="1"/>
  <c r="T8" s="1"/>
  <c r="K7"/>
  <c r="L7" s="1"/>
  <c r="K6"/>
  <c r="L6" s="1"/>
  <c r="K5"/>
  <c r="L5" s="1"/>
  <c r="K4"/>
  <c r="K3"/>
  <c r="L3" s="1"/>
  <c r="L81" l="1"/>
  <c r="L106"/>
  <c r="L111"/>
  <c r="L112"/>
  <c r="L113"/>
  <c r="L12"/>
  <c r="T12" s="1"/>
  <c r="N16"/>
  <c r="L29"/>
  <c r="T29" s="1"/>
  <c r="N41"/>
  <c r="N42"/>
  <c r="N43"/>
  <c r="L44"/>
  <c r="T44" s="1"/>
  <c r="L46"/>
  <c r="T46" s="1"/>
  <c r="L48"/>
  <c r="T48" s="1"/>
  <c r="L50"/>
  <c r="T50" s="1"/>
  <c r="L52"/>
  <c r="T52" s="1"/>
  <c r="L54"/>
  <c r="T54" s="1"/>
  <c r="L56"/>
  <c r="T56" s="1"/>
  <c r="L60"/>
  <c r="T60" s="1"/>
  <c r="L62"/>
  <c r="T62" s="1"/>
  <c r="L64"/>
  <c r="T64" s="1"/>
  <c r="L68"/>
  <c r="T68" s="1"/>
  <c r="L73"/>
  <c r="T73" s="1"/>
  <c r="L78"/>
  <c r="T78" s="1"/>
  <c r="L80"/>
  <c r="T80" s="1"/>
  <c r="L83"/>
  <c r="T83" s="1"/>
  <c r="L85"/>
  <c r="T85" s="1"/>
  <c r="N90"/>
  <c r="N91"/>
  <c r="N92"/>
  <c r="N93"/>
  <c r="N94"/>
  <c r="L95"/>
  <c r="T95" s="1"/>
  <c r="N101"/>
  <c r="N102"/>
  <c r="L105"/>
  <c r="T105" s="1"/>
  <c r="L108"/>
  <c r="T108" s="1"/>
  <c r="L110"/>
  <c r="T110" s="1"/>
  <c r="L118"/>
  <c r="T118" s="1"/>
  <c r="L119"/>
  <c r="T119" s="1"/>
  <c r="L120"/>
  <c r="T120" s="1"/>
  <c r="N125"/>
  <c r="L126"/>
  <c r="T126" s="1"/>
  <c r="N128"/>
  <c r="N129"/>
  <c r="L4"/>
  <c r="T4" s="1"/>
  <c r="L21"/>
  <c r="T21" s="1"/>
  <c r="N39"/>
  <c r="L70"/>
  <c r="T70" s="1"/>
  <c r="L72"/>
  <c r="T72" s="1"/>
  <c r="L74"/>
  <c r="T74" s="1"/>
  <c r="L76"/>
  <c r="T76" s="1"/>
  <c r="N81"/>
  <c r="L82"/>
  <c r="T82" s="1"/>
  <c r="L87"/>
  <c r="T87" s="1"/>
  <c r="L89"/>
  <c r="T89" s="1"/>
  <c r="L98"/>
  <c r="T98" s="1"/>
  <c r="L100"/>
  <c r="T100" s="1"/>
  <c r="L101"/>
  <c r="T101" s="1"/>
  <c r="L102"/>
  <c r="T102" s="1"/>
  <c r="N106"/>
  <c r="L109"/>
  <c r="T109" s="1"/>
  <c r="N111"/>
  <c r="N112"/>
  <c r="N113"/>
  <c r="N119"/>
  <c r="N120"/>
  <c r="L122"/>
  <c r="T122" s="1"/>
  <c r="L124"/>
  <c r="T124" s="1"/>
  <c r="L127"/>
  <c r="T127" s="1"/>
  <c r="L132"/>
  <c r="T132" s="1"/>
  <c r="L58"/>
  <c r="L16"/>
  <c r="L41"/>
  <c r="L42"/>
  <c r="L43"/>
  <c r="L90"/>
  <c r="T90" s="1"/>
  <c r="L91"/>
  <c r="L92"/>
  <c r="T92" s="1"/>
  <c r="L93"/>
  <c r="L94"/>
  <c r="T94" s="1"/>
  <c r="L104"/>
  <c r="L115"/>
  <c r="L116"/>
  <c r="L117"/>
  <c r="L125"/>
  <c r="L128"/>
  <c r="T128" s="1"/>
  <c r="L129"/>
  <c r="Q47"/>
  <c r="S47" s="1"/>
  <c r="T47"/>
  <c r="Q63"/>
  <c r="S63" s="1"/>
  <c r="T63"/>
  <c r="Q55"/>
  <c r="S55" s="1"/>
  <c r="T55"/>
  <c r="T81"/>
  <c r="T91"/>
  <c r="T93"/>
  <c r="T125"/>
  <c r="Q51"/>
  <c r="S51" s="1"/>
  <c r="T51"/>
  <c r="Q59"/>
  <c r="S59" s="1"/>
  <c r="T59"/>
  <c r="T30"/>
  <c r="N30"/>
  <c r="T31"/>
  <c r="N31"/>
  <c r="T32"/>
  <c r="N32"/>
  <c r="T33"/>
  <c r="N33"/>
  <c r="T34"/>
  <c r="N34"/>
  <c r="T35"/>
  <c r="N35"/>
  <c r="E134"/>
  <c r="N58"/>
  <c r="N96"/>
  <c r="N97"/>
  <c r="N104"/>
  <c r="T6"/>
  <c r="T10"/>
  <c r="T14"/>
  <c r="T19"/>
  <c r="T23"/>
  <c r="T27"/>
  <c r="T37"/>
  <c r="T39"/>
  <c r="T40"/>
  <c r="T45"/>
  <c r="T49"/>
  <c r="T53"/>
  <c r="T57"/>
  <c r="T61"/>
  <c r="T65"/>
  <c r="T67"/>
  <c r="T71"/>
  <c r="T75"/>
  <c r="T79"/>
  <c r="T84"/>
  <c r="T88"/>
  <c r="T99"/>
  <c r="T106"/>
  <c r="T107"/>
  <c r="T111"/>
  <c r="T112"/>
  <c r="T113"/>
  <c r="T114"/>
  <c r="T123"/>
  <c r="T129"/>
  <c r="T131"/>
  <c r="K134"/>
  <c r="N38"/>
  <c r="N115"/>
  <c r="N116"/>
  <c r="N117"/>
  <c r="Q31"/>
  <c r="S31" s="1"/>
  <c r="Q33"/>
  <c r="S33" s="1"/>
  <c r="Q35"/>
  <c r="S35" s="1"/>
  <c r="Q46"/>
  <c r="S46" s="1"/>
  <c r="Q50"/>
  <c r="S50" s="1"/>
  <c r="Q54"/>
  <c r="S54" s="1"/>
  <c r="Q62"/>
  <c r="S62" s="1"/>
  <c r="T66"/>
  <c r="Q70"/>
  <c r="S70" s="1"/>
  <c r="Q78"/>
  <c r="S78" s="1"/>
  <c r="Q81"/>
  <c r="S81" s="1"/>
  <c r="Q85"/>
  <c r="S85" s="1"/>
  <c r="Q91"/>
  <c r="S91" s="1"/>
  <c r="Q93"/>
  <c r="S93" s="1"/>
  <c r="Q98"/>
  <c r="S98" s="1"/>
  <c r="Q105"/>
  <c r="S105" s="1"/>
  <c r="Q108"/>
  <c r="S108" s="1"/>
  <c r="Q111"/>
  <c r="S111" s="1"/>
  <c r="Q113"/>
  <c r="S113" s="1"/>
  <c r="Q119"/>
  <c r="S119" s="1"/>
  <c r="Q125"/>
  <c r="S125" s="1"/>
  <c r="T5"/>
  <c r="T7"/>
  <c r="T9"/>
  <c r="T11"/>
  <c r="T13"/>
  <c r="T15"/>
  <c r="F134"/>
  <c r="T16"/>
  <c r="T18"/>
  <c r="T20"/>
  <c r="T22"/>
  <c r="T24"/>
  <c r="T26"/>
  <c r="T28"/>
  <c r="T36"/>
  <c r="T38"/>
  <c r="T41"/>
  <c r="T43"/>
  <c r="T58"/>
  <c r="Q39"/>
  <c r="S39" s="1"/>
  <c r="Q44"/>
  <c r="S44" s="1"/>
  <c r="Q48"/>
  <c r="S48" s="1"/>
  <c r="Q52"/>
  <c r="S52" s="1"/>
  <c r="Q56"/>
  <c r="S56" s="1"/>
  <c r="Q60"/>
  <c r="S60" s="1"/>
  <c r="Q64"/>
  <c r="S64" s="1"/>
  <c r="Q68"/>
  <c r="S68" s="1"/>
  <c r="Q72"/>
  <c r="S72" s="1"/>
  <c r="Q76"/>
  <c r="S76" s="1"/>
  <c r="Q80"/>
  <c r="S80" s="1"/>
  <c r="Q83"/>
  <c r="S83" s="1"/>
  <c r="Q87"/>
  <c r="S87" s="1"/>
  <c r="Q92"/>
  <c r="S92" s="1"/>
  <c r="Q100"/>
  <c r="S100" s="1"/>
  <c r="Q102"/>
  <c r="S102" s="1"/>
  <c r="Q106"/>
  <c r="S106" s="1"/>
  <c r="Q110"/>
  <c r="S110" s="1"/>
  <c r="Q112"/>
  <c r="S112" s="1"/>
  <c r="Q118"/>
  <c r="S118" s="1"/>
  <c r="Q120"/>
  <c r="S120" s="1"/>
  <c r="Q127"/>
  <c r="S127" s="1"/>
  <c r="Q129"/>
  <c r="S129" s="1"/>
  <c r="Q132"/>
  <c r="S132" s="1"/>
  <c r="Q4"/>
  <c r="S4" s="1"/>
  <c r="Q6"/>
  <c r="S6" s="1"/>
  <c r="Q8"/>
  <c r="S8" s="1"/>
  <c r="Q10"/>
  <c r="S10" s="1"/>
  <c r="Q12"/>
  <c r="S12" s="1"/>
  <c r="Q14"/>
  <c r="S14" s="1"/>
  <c r="Q17"/>
  <c r="S17" s="1"/>
  <c r="Q19"/>
  <c r="S19" s="1"/>
  <c r="Q21"/>
  <c r="S21" s="1"/>
  <c r="Q23"/>
  <c r="S23" s="1"/>
  <c r="Q25"/>
  <c r="S25" s="1"/>
  <c r="Q27"/>
  <c r="S27" s="1"/>
  <c r="Q29"/>
  <c r="S29" s="1"/>
  <c r="T42"/>
  <c r="Q67"/>
  <c r="S67" s="1"/>
  <c r="Q69"/>
  <c r="S69" s="1"/>
  <c r="Q71"/>
  <c r="S71" s="1"/>
  <c r="Q73"/>
  <c r="S73" s="1"/>
  <c r="Q75"/>
  <c r="S75" s="1"/>
  <c r="Q77"/>
  <c r="S77" s="1"/>
  <c r="Q79"/>
  <c r="S79" s="1"/>
  <c r="Q82"/>
  <c r="S82" s="1"/>
  <c r="Q84"/>
  <c r="S84" s="1"/>
  <c r="Q86"/>
  <c r="S86" s="1"/>
  <c r="Q88"/>
  <c r="S88" s="1"/>
  <c r="Q95"/>
  <c r="S95" s="1"/>
  <c r="T96"/>
  <c r="T97"/>
  <c r="Q99"/>
  <c r="S99" s="1"/>
  <c r="Q103"/>
  <c r="S103" s="1"/>
  <c r="T104"/>
  <c r="Q107"/>
  <c r="S107" s="1"/>
  <c r="Q109"/>
  <c r="S109" s="1"/>
  <c r="Q114"/>
  <c r="S114" s="1"/>
  <c r="T115"/>
  <c r="T116"/>
  <c r="T117"/>
  <c r="Q121"/>
  <c r="S121" s="1"/>
  <c r="Q123"/>
  <c r="S123" s="1"/>
  <c r="Q126"/>
  <c r="S126" s="1"/>
  <c r="Q131"/>
  <c r="S131" s="1"/>
  <c r="Q130"/>
  <c r="S130" s="1"/>
  <c r="P117" l="1"/>
  <c r="R117" s="1"/>
  <c r="V117"/>
  <c r="P115"/>
  <c r="R115" s="1"/>
  <c r="V115"/>
  <c r="P97"/>
  <c r="R97" s="1"/>
  <c r="V97"/>
  <c r="P58"/>
  <c r="R58" s="1"/>
  <c r="V58"/>
  <c r="P35"/>
  <c r="R35" s="1"/>
  <c r="V35"/>
  <c r="P34"/>
  <c r="R34" s="1"/>
  <c r="V34"/>
  <c r="P33"/>
  <c r="R33" s="1"/>
  <c r="V33"/>
  <c r="P32"/>
  <c r="R32" s="1"/>
  <c r="V32"/>
  <c r="P31"/>
  <c r="R31" s="1"/>
  <c r="V31"/>
  <c r="P30"/>
  <c r="R30" s="1"/>
  <c r="V30"/>
  <c r="P119"/>
  <c r="R119" s="1"/>
  <c r="V119"/>
  <c r="P112"/>
  <c r="R112" s="1"/>
  <c r="V112"/>
  <c r="P39"/>
  <c r="R39" s="1"/>
  <c r="V39"/>
  <c r="P128"/>
  <c r="R128" s="1"/>
  <c r="V128"/>
  <c r="P125"/>
  <c r="R125" s="1"/>
  <c r="V125"/>
  <c r="P101"/>
  <c r="R101" s="1"/>
  <c r="V101"/>
  <c r="P94"/>
  <c r="R94" s="1"/>
  <c r="V94"/>
  <c r="P92"/>
  <c r="R92" s="1"/>
  <c r="V92"/>
  <c r="P90"/>
  <c r="R90" s="1"/>
  <c r="V90"/>
  <c r="P42"/>
  <c r="R42" s="1"/>
  <c r="V42"/>
  <c r="P116"/>
  <c r="R116" s="1"/>
  <c r="V116"/>
  <c r="P38"/>
  <c r="R38" s="1"/>
  <c r="V38"/>
  <c r="P104"/>
  <c r="R104" s="1"/>
  <c r="V104"/>
  <c r="P96"/>
  <c r="R96" s="1"/>
  <c r="V96"/>
  <c r="P120"/>
  <c r="R120" s="1"/>
  <c r="V120"/>
  <c r="P113"/>
  <c r="R113" s="1"/>
  <c r="V113"/>
  <c r="P111"/>
  <c r="R111" s="1"/>
  <c r="V111"/>
  <c r="P106"/>
  <c r="R106" s="1"/>
  <c r="V106"/>
  <c r="P81"/>
  <c r="R81" s="1"/>
  <c r="V81"/>
  <c r="P129"/>
  <c r="R129" s="1"/>
  <c r="V129"/>
  <c r="P102"/>
  <c r="R102" s="1"/>
  <c r="V102"/>
  <c r="P93"/>
  <c r="R93" s="1"/>
  <c r="V93"/>
  <c r="P91"/>
  <c r="R91" s="1"/>
  <c r="V91"/>
  <c r="P43"/>
  <c r="R43" s="1"/>
  <c r="V43"/>
  <c r="P41"/>
  <c r="R41" s="1"/>
  <c r="V41"/>
  <c r="P16"/>
  <c r="R16" s="1"/>
  <c r="V16"/>
  <c r="Q124"/>
  <c r="S124" s="1"/>
  <c r="Q94"/>
  <c r="S94" s="1"/>
  <c r="Q90"/>
  <c r="S90" s="1"/>
  <c r="Q122"/>
  <c r="S122" s="1"/>
  <c r="Q101"/>
  <c r="S101" s="1"/>
  <c r="Q89"/>
  <c r="S89" s="1"/>
  <c r="Q74"/>
  <c r="S74" s="1"/>
  <c r="N134"/>
  <c r="Q128"/>
  <c r="S128" s="1"/>
  <c r="Q34"/>
  <c r="S34" s="1"/>
  <c r="Q32"/>
  <c r="S32" s="1"/>
  <c r="Q30"/>
  <c r="S30" s="1"/>
  <c r="Q3"/>
  <c r="S3" s="1"/>
  <c r="T3"/>
  <c r="T134" s="1"/>
  <c r="Q65"/>
  <c r="S65" s="1"/>
  <c r="Q57"/>
  <c r="S57" s="1"/>
  <c r="Q49"/>
  <c r="S49" s="1"/>
  <c r="Q40"/>
  <c r="S40" s="1"/>
  <c r="Q61"/>
  <c r="S61" s="1"/>
  <c r="Q53"/>
  <c r="S53" s="1"/>
  <c r="Q45"/>
  <c r="S45" s="1"/>
  <c r="Q116"/>
  <c r="S116" s="1"/>
  <c r="Q104"/>
  <c r="S104" s="1"/>
  <c r="Q96"/>
  <c r="S96" s="1"/>
  <c r="Q42"/>
  <c r="S42" s="1"/>
  <c r="Q58"/>
  <c r="S58" s="1"/>
  <c r="Q43"/>
  <c r="S43" s="1"/>
  <c r="Q36"/>
  <c r="S36" s="1"/>
  <c r="Q26"/>
  <c r="S26" s="1"/>
  <c r="Q22"/>
  <c r="S22" s="1"/>
  <c r="Q18"/>
  <c r="S18" s="1"/>
  <c r="Q13"/>
  <c r="S13" s="1"/>
  <c r="Q9"/>
  <c r="S9" s="1"/>
  <c r="Q5"/>
  <c r="S5" s="1"/>
  <c r="Q66"/>
  <c r="S66" s="1"/>
  <c r="Q117"/>
  <c r="S117" s="1"/>
  <c r="Q115"/>
  <c r="S115" s="1"/>
  <c r="Q97"/>
  <c r="S97" s="1"/>
  <c r="Q41"/>
  <c r="S41" s="1"/>
  <c r="Q38"/>
  <c r="S38" s="1"/>
  <c r="Q28"/>
  <c r="S28" s="1"/>
  <c r="Q24"/>
  <c r="S24" s="1"/>
  <c r="Q20"/>
  <c r="S20" s="1"/>
  <c r="Q16"/>
  <c r="S16" s="1"/>
  <c r="Q15"/>
  <c r="S15" s="1"/>
  <c r="Q11"/>
  <c r="S11" s="1"/>
  <c r="Q7"/>
  <c r="S7" s="1"/>
  <c r="L134"/>
  <c r="Q134" s="1"/>
  <c r="E112" i="19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K146"/>
  <c r="L146"/>
  <c r="D147"/>
  <c r="C147"/>
  <c r="P134" i="20" l="1"/>
  <c r="R134" s="1"/>
  <c r="V134"/>
  <c r="T138"/>
  <c r="S137"/>
  <c r="E148" i="19"/>
  <c r="L148"/>
  <c r="K148"/>
  <c r="J148"/>
  <c r="I148"/>
  <c r="H148"/>
  <c r="D148"/>
  <c r="C148"/>
  <c r="B148"/>
  <c r="V149" s="1"/>
  <c r="S147"/>
  <c r="Q147"/>
  <c r="O147"/>
  <c r="N147"/>
  <c r="O146"/>
  <c r="N146"/>
  <c r="R146" s="1"/>
  <c r="S146"/>
  <c r="O145"/>
  <c r="S145"/>
  <c r="S144"/>
  <c r="O144"/>
  <c r="N144"/>
  <c r="N143"/>
  <c r="N142"/>
  <c r="O141"/>
  <c r="N141"/>
  <c r="R141" s="1"/>
  <c r="S141"/>
  <c r="O140"/>
  <c r="S140"/>
  <c r="N139"/>
  <c r="O138"/>
  <c r="N138"/>
  <c r="R138" s="1"/>
  <c r="S138"/>
  <c r="O137"/>
  <c r="S137"/>
  <c r="O136"/>
  <c r="N136"/>
  <c r="S136"/>
  <c r="O135"/>
  <c r="S135"/>
  <c r="N134"/>
  <c r="N133"/>
  <c r="O132"/>
  <c r="N132"/>
  <c r="R132" s="1"/>
  <c r="S132"/>
  <c r="O131"/>
  <c r="S131"/>
  <c r="O130"/>
  <c r="S130"/>
  <c r="O129"/>
  <c r="S129"/>
  <c r="O128"/>
  <c r="S128"/>
  <c r="N127"/>
  <c r="N126"/>
  <c r="N125"/>
  <c r="O124"/>
  <c r="N124"/>
  <c r="R124" s="1"/>
  <c r="S124"/>
  <c r="O123"/>
  <c r="S123"/>
  <c r="O122"/>
  <c r="N122"/>
  <c r="S122"/>
  <c r="O121"/>
  <c r="S121"/>
  <c r="N120"/>
  <c r="O119"/>
  <c r="N119"/>
  <c r="S119"/>
  <c r="O118"/>
  <c r="S118"/>
  <c r="O117"/>
  <c r="S117"/>
  <c r="N116"/>
  <c r="N115"/>
  <c r="O114"/>
  <c r="N114"/>
  <c r="R114" s="1"/>
  <c r="S114"/>
  <c r="O113"/>
  <c r="S113"/>
  <c r="O112"/>
  <c r="N112"/>
  <c r="S112"/>
  <c r="O111"/>
  <c r="S111"/>
  <c r="O110"/>
  <c r="S110"/>
  <c r="O109"/>
  <c r="S109"/>
  <c r="N108"/>
  <c r="N107"/>
  <c r="N106"/>
  <c r="N105"/>
  <c r="N104"/>
  <c r="O103"/>
  <c r="N103"/>
  <c r="S103"/>
  <c r="O102"/>
  <c r="S102"/>
  <c r="O101"/>
  <c r="N101"/>
  <c r="R101" s="1"/>
  <c r="S101"/>
  <c r="O100"/>
  <c r="S100"/>
  <c r="O99"/>
  <c r="N99"/>
  <c r="S99"/>
  <c r="O98"/>
  <c r="S98"/>
  <c r="O97"/>
  <c r="N97"/>
  <c r="R97" s="1"/>
  <c r="S97"/>
  <c r="O96"/>
  <c r="S96"/>
  <c r="N95"/>
  <c r="O94"/>
  <c r="N94"/>
  <c r="R94" s="1"/>
  <c r="S94"/>
  <c r="O93"/>
  <c r="S93"/>
  <c r="O92"/>
  <c r="N92"/>
  <c r="S92"/>
  <c r="O91"/>
  <c r="S91"/>
  <c r="O90"/>
  <c r="N90"/>
  <c r="R90" s="1"/>
  <c r="S90"/>
  <c r="O89"/>
  <c r="S89"/>
  <c r="O88"/>
  <c r="N88"/>
  <c r="O87"/>
  <c r="N87"/>
  <c r="S87"/>
  <c r="O86"/>
  <c r="N86"/>
  <c r="O85"/>
  <c r="N85"/>
  <c r="R85" s="1"/>
  <c r="S85"/>
  <c r="O84"/>
  <c r="N84"/>
  <c r="O83"/>
  <c r="N83"/>
  <c r="S83"/>
  <c r="O82"/>
  <c r="N82"/>
  <c r="O81"/>
  <c r="N81"/>
  <c r="R81" s="1"/>
  <c r="S81"/>
  <c r="O80"/>
  <c r="N80"/>
  <c r="O79"/>
  <c r="N79"/>
  <c r="S79"/>
  <c r="O78"/>
  <c r="N78"/>
  <c r="O77"/>
  <c r="N77"/>
  <c r="R77" s="1"/>
  <c r="S77"/>
  <c r="O76"/>
  <c r="N76"/>
  <c r="O75"/>
  <c r="N75"/>
  <c r="S75"/>
  <c r="O74"/>
  <c r="N74"/>
  <c r="O73"/>
  <c r="N73"/>
  <c r="R73" s="1"/>
  <c r="S73"/>
  <c r="N72"/>
  <c r="F148"/>
  <c r="O71"/>
  <c r="N71"/>
  <c r="S71"/>
  <c r="O70"/>
  <c r="N70"/>
  <c r="O69"/>
  <c r="N69"/>
  <c r="R69" s="1"/>
  <c r="S69"/>
  <c r="O68"/>
  <c r="N68"/>
  <c r="O67"/>
  <c r="N67"/>
  <c r="P67" s="1"/>
  <c r="Q67" s="1"/>
  <c r="S67"/>
  <c r="O66"/>
  <c r="N66"/>
  <c r="O65"/>
  <c r="N65"/>
  <c r="P65" s="1"/>
  <c r="Q65" s="1"/>
  <c r="S65"/>
  <c r="S64"/>
  <c r="O64"/>
  <c r="N64"/>
  <c r="O63"/>
  <c r="N63"/>
  <c r="P63" s="1"/>
  <c r="Q63" s="1"/>
  <c r="S63"/>
  <c r="O62"/>
  <c r="N62"/>
  <c r="O61"/>
  <c r="N61"/>
  <c r="P61" s="1"/>
  <c r="Q61" s="1"/>
  <c r="S61"/>
  <c r="S60"/>
  <c r="O60"/>
  <c r="N60"/>
  <c r="O59"/>
  <c r="N59"/>
  <c r="P59" s="1"/>
  <c r="Q59" s="1"/>
  <c r="S59"/>
  <c r="O58"/>
  <c r="N58"/>
  <c r="O54"/>
  <c r="N54"/>
  <c r="P54" s="1"/>
  <c r="Q54" s="1"/>
  <c r="S54"/>
  <c r="O53"/>
  <c r="N53"/>
  <c r="S52"/>
  <c r="O52"/>
  <c r="N52"/>
  <c r="O51"/>
  <c r="N51"/>
  <c r="O50"/>
  <c r="N50"/>
  <c r="P50" s="1"/>
  <c r="Q50" s="1"/>
  <c r="S50"/>
  <c r="S49"/>
  <c r="O49"/>
  <c r="N49"/>
  <c r="O48"/>
  <c r="N48"/>
  <c r="S47"/>
  <c r="O47"/>
  <c r="N47"/>
  <c r="O46"/>
  <c r="N46"/>
  <c r="S45"/>
  <c r="O45"/>
  <c r="N45"/>
  <c r="N44"/>
  <c r="S44"/>
  <c r="O43"/>
  <c r="S43"/>
  <c r="O42"/>
  <c r="N42"/>
  <c r="R42" s="1"/>
  <c r="S42"/>
  <c r="O41"/>
  <c r="S41"/>
  <c r="O40"/>
  <c r="N40"/>
  <c r="S40"/>
  <c r="O39"/>
  <c r="S39"/>
  <c r="O38"/>
  <c r="N38"/>
  <c r="R38" s="1"/>
  <c r="S38"/>
  <c r="O37"/>
  <c r="S37"/>
  <c r="O36"/>
  <c r="N36"/>
  <c r="S36"/>
  <c r="O35"/>
  <c r="S35"/>
  <c r="O34"/>
  <c r="N34"/>
  <c r="R34" s="1"/>
  <c r="S34"/>
  <c r="O33"/>
  <c r="S33"/>
  <c r="O32"/>
  <c r="N32"/>
  <c r="S32"/>
  <c r="O31"/>
  <c r="S31"/>
  <c r="G148"/>
  <c r="O29"/>
  <c r="N29"/>
  <c r="S29"/>
  <c r="O28"/>
  <c r="S28"/>
  <c r="O27"/>
  <c r="N27"/>
  <c r="R27" s="1"/>
  <c r="S27"/>
  <c r="O26"/>
  <c r="S26"/>
  <c r="O25"/>
  <c r="N25"/>
  <c r="S25"/>
  <c r="O24"/>
  <c r="S24"/>
  <c r="O23"/>
  <c r="N23"/>
  <c r="R23" s="1"/>
  <c r="S23"/>
  <c r="O22"/>
  <c r="S22"/>
  <c r="O21"/>
  <c r="N21"/>
  <c r="S21"/>
  <c r="O20"/>
  <c r="S20"/>
  <c r="O19"/>
  <c r="N19"/>
  <c r="R19" s="1"/>
  <c r="S19"/>
  <c r="O18"/>
  <c r="S18"/>
  <c r="O17"/>
  <c r="N17"/>
  <c r="S16"/>
  <c r="M15"/>
  <c r="L15"/>
  <c r="K15"/>
  <c r="J15"/>
  <c r="I15"/>
  <c r="H15"/>
  <c r="G15"/>
  <c r="F15"/>
  <c r="D15"/>
  <c r="C15"/>
  <c r="B15"/>
  <c r="S14"/>
  <c r="Q14"/>
  <c r="R14" s="1"/>
  <c r="P14"/>
  <c r="O14"/>
  <c r="N14"/>
  <c r="S13"/>
  <c r="Q13"/>
  <c r="R13" s="1"/>
  <c r="P13"/>
  <c r="O13"/>
  <c r="N13"/>
  <c r="S12"/>
  <c r="Q12"/>
  <c r="R12" s="1"/>
  <c r="P12"/>
  <c r="O12"/>
  <c r="N12"/>
  <c r="S11"/>
  <c r="Q11"/>
  <c r="R11" s="1"/>
  <c r="P11"/>
  <c r="O11"/>
  <c r="N11"/>
  <c r="S10"/>
  <c r="Q10"/>
  <c r="R10" s="1"/>
  <c r="P10"/>
  <c r="O10"/>
  <c r="N10"/>
  <c r="S9"/>
  <c r="Q9"/>
  <c r="R9" s="1"/>
  <c r="P9"/>
  <c r="O9"/>
  <c r="N9"/>
  <c r="S8"/>
  <c r="Q8"/>
  <c r="R8" s="1"/>
  <c r="P8"/>
  <c r="O8"/>
  <c r="N8"/>
  <c r="S7"/>
  <c r="Q7"/>
  <c r="R7" s="1"/>
  <c r="P7"/>
  <c r="O7"/>
  <c r="N7"/>
  <c r="S6"/>
  <c r="Q6"/>
  <c r="R6" s="1"/>
  <c r="P6"/>
  <c r="O6"/>
  <c r="N6"/>
  <c r="S5"/>
  <c r="Q5"/>
  <c r="R5" s="1"/>
  <c r="P5"/>
  <c r="O5"/>
  <c r="N5"/>
  <c r="S4"/>
  <c r="S15" s="1"/>
  <c r="Q4"/>
  <c r="Q15" s="1"/>
  <c r="P4"/>
  <c r="P15" s="1"/>
  <c r="O4"/>
  <c r="O15" s="1"/>
  <c r="N4"/>
  <c r="N15" l="1"/>
  <c r="R4"/>
  <c r="R15" s="1"/>
  <c r="R147"/>
  <c r="R144"/>
  <c r="R21"/>
  <c r="R25"/>
  <c r="R29"/>
  <c r="R32"/>
  <c r="R36"/>
  <c r="R40"/>
  <c r="R71"/>
  <c r="R75"/>
  <c r="R79"/>
  <c r="R83"/>
  <c r="R87"/>
  <c r="R92"/>
  <c r="R99"/>
  <c r="R103"/>
  <c r="R112"/>
  <c r="R119"/>
  <c r="R122"/>
  <c r="R136"/>
  <c r="R54"/>
  <c r="R59"/>
  <c r="R63"/>
  <c r="R67"/>
  <c r="R45"/>
  <c r="P45"/>
  <c r="Q45" s="1"/>
  <c r="R47"/>
  <c r="P47"/>
  <c r="Q47" s="1"/>
  <c r="R49"/>
  <c r="P49"/>
  <c r="Q49" s="1"/>
  <c r="R52"/>
  <c r="P52"/>
  <c r="Q52" s="1"/>
  <c r="S55"/>
  <c r="O55"/>
  <c r="S57"/>
  <c r="O57"/>
  <c r="R60"/>
  <c r="P60"/>
  <c r="Q60" s="1"/>
  <c r="R64"/>
  <c r="P64"/>
  <c r="Q64" s="1"/>
  <c r="R68"/>
  <c r="P68"/>
  <c r="Q68" s="1"/>
  <c r="P72"/>
  <c r="Q72" s="1"/>
  <c r="R74"/>
  <c r="P74"/>
  <c r="Q74" s="1"/>
  <c r="R78"/>
  <c r="P78"/>
  <c r="Q78" s="1"/>
  <c r="R82"/>
  <c r="P82"/>
  <c r="Q82" s="1"/>
  <c r="R86"/>
  <c r="P86"/>
  <c r="Q86" s="1"/>
  <c r="P95"/>
  <c r="Q95" s="1"/>
  <c r="P104"/>
  <c r="Q104" s="1"/>
  <c r="P105"/>
  <c r="Q105" s="1"/>
  <c r="P106"/>
  <c r="Q106" s="1"/>
  <c r="P107"/>
  <c r="Q107" s="1"/>
  <c r="P108"/>
  <c r="Q108" s="1"/>
  <c r="P115"/>
  <c r="Q115" s="1"/>
  <c r="P116"/>
  <c r="Q116" s="1"/>
  <c r="P120"/>
  <c r="Q120" s="1"/>
  <c r="P125"/>
  <c r="Q125" s="1"/>
  <c r="P126"/>
  <c r="Q126" s="1"/>
  <c r="P127"/>
  <c r="Q127" s="1"/>
  <c r="P133"/>
  <c r="Q133" s="1"/>
  <c r="P134"/>
  <c r="Q134" s="1"/>
  <c r="P139"/>
  <c r="Q139" s="1"/>
  <c r="M148"/>
  <c r="S17"/>
  <c r="N18"/>
  <c r="N20"/>
  <c r="N22"/>
  <c r="N24"/>
  <c r="N26"/>
  <c r="N28"/>
  <c r="O30"/>
  <c r="S30"/>
  <c r="N31"/>
  <c r="N33"/>
  <c r="N35"/>
  <c r="N37"/>
  <c r="N39"/>
  <c r="N41"/>
  <c r="N43"/>
  <c r="O44"/>
  <c r="S46"/>
  <c r="S48"/>
  <c r="R50"/>
  <c r="S51"/>
  <c r="S53"/>
  <c r="N55"/>
  <c r="N57"/>
  <c r="S58"/>
  <c r="R61"/>
  <c r="S62"/>
  <c r="R65"/>
  <c r="S66"/>
  <c r="T148"/>
  <c r="R44"/>
  <c r="P44"/>
  <c r="Q44" s="1"/>
  <c r="R46"/>
  <c r="P46"/>
  <c r="Q46" s="1"/>
  <c r="R48"/>
  <c r="P48"/>
  <c r="Q48" s="1"/>
  <c r="R51"/>
  <c r="P51"/>
  <c r="Q51" s="1"/>
  <c r="R53"/>
  <c r="P53"/>
  <c r="Q53" s="1"/>
  <c r="S56"/>
  <c r="O56"/>
  <c r="R58"/>
  <c r="P58"/>
  <c r="Q58" s="1"/>
  <c r="R62"/>
  <c r="P62"/>
  <c r="Q62" s="1"/>
  <c r="R66"/>
  <c r="P66"/>
  <c r="Q66" s="1"/>
  <c r="R70"/>
  <c r="P70"/>
  <c r="Q70" s="1"/>
  <c r="R76"/>
  <c r="P76"/>
  <c r="Q76" s="1"/>
  <c r="R80"/>
  <c r="P80"/>
  <c r="Q80" s="1"/>
  <c r="R84"/>
  <c r="P84"/>
  <c r="Q84" s="1"/>
  <c r="R88"/>
  <c r="P88"/>
  <c r="Q88" s="1"/>
  <c r="P142"/>
  <c r="Q142" s="1"/>
  <c r="P143"/>
  <c r="Q143" s="1"/>
  <c r="P17"/>
  <c r="Q17" s="1"/>
  <c r="R17"/>
  <c r="P19"/>
  <c r="Q19" s="1"/>
  <c r="P21"/>
  <c r="Q21" s="1"/>
  <c r="P23"/>
  <c r="Q23" s="1"/>
  <c r="P25"/>
  <c r="Q25" s="1"/>
  <c r="P27"/>
  <c r="Q27" s="1"/>
  <c r="P29"/>
  <c r="Q29" s="1"/>
  <c r="N30"/>
  <c r="P32"/>
  <c r="Q32" s="1"/>
  <c r="P34"/>
  <c r="Q34" s="1"/>
  <c r="P36"/>
  <c r="Q36" s="1"/>
  <c r="P38"/>
  <c r="Q38" s="1"/>
  <c r="P40"/>
  <c r="Q40" s="1"/>
  <c r="P42"/>
  <c r="Q42" s="1"/>
  <c r="N56"/>
  <c r="S68"/>
  <c r="P69"/>
  <c r="Q69" s="1"/>
  <c r="S70"/>
  <c r="P71"/>
  <c r="Q71" s="1"/>
  <c r="O72"/>
  <c r="R72" s="1"/>
  <c r="S72"/>
  <c r="P73"/>
  <c r="Q73" s="1"/>
  <c r="S74"/>
  <c r="P75"/>
  <c r="Q75" s="1"/>
  <c r="S76"/>
  <c r="P77"/>
  <c r="Q77" s="1"/>
  <c r="S78"/>
  <c r="P79"/>
  <c r="Q79" s="1"/>
  <c r="S80"/>
  <c r="P81"/>
  <c r="Q81" s="1"/>
  <c r="S82"/>
  <c r="P83"/>
  <c r="Q83" s="1"/>
  <c r="S84"/>
  <c r="P85"/>
  <c r="Q85" s="1"/>
  <c r="S86"/>
  <c r="P87"/>
  <c r="Q87" s="1"/>
  <c r="S88"/>
  <c r="N89"/>
  <c r="N91"/>
  <c r="N93"/>
  <c r="O95"/>
  <c r="R95" s="1"/>
  <c r="S95"/>
  <c r="N96"/>
  <c r="N98"/>
  <c r="N100"/>
  <c r="N102"/>
  <c r="O104"/>
  <c r="R104" s="1"/>
  <c r="S104"/>
  <c r="O105"/>
  <c r="R105" s="1"/>
  <c r="S105"/>
  <c r="O106"/>
  <c r="R106" s="1"/>
  <c r="S106"/>
  <c r="O107"/>
  <c r="R107" s="1"/>
  <c r="S107"/>
  <c r="O108"/>
  <c r="R108" s="1"/>
  <c r="S108"/>
  <c r="N109"/>
  <c r="N110"/>
  <c r="N111"/>
  <c r="N113"/>
  <c r="O115"/>
  <c r="R115" s="1"/>
  <c r="S115"/>
  <c r="O116"/>
  <c r="R116" s="1"/>
  <c r="S116"/>
  <c r="N117"/>
  <c r="N118"/>
  <c r="O120"/>
  <c r="R120" s="1"/>
  <c r="S120"/>
  <c r="N121"/>
  <c r="N123"/>
  <c r="O125"/>
  <c r="R125" s="1"/>
  <c r="S125"/>
  <c r="O126"/>
  <c r="R126" s="1"/>
  <c r="S126"/>
  <c r="O127"/>
  <c r="R127" s="1"/>
  <c r="S127"/>
  <c r="N128"/>
  <c r="N129"/>
  <c r="N130"/>
  <c r="N131"/>
  <c r="O133"/>
  <c r="R133" s="1"/>
  <c r="S133"/>
  <c r="O134"/>
  <c r="R134" s="1"/>
  <c r="S134"/>
  <c r="N135"/>
  <c r="N137"/>
  <c r="O139"/>
  <c r="R139" s="1"/>
  <c r="S139"/>
  <c r="N140"/>
  <c r="O142"/>
  <c r="R142" s="1"/>
  <c r="S142"/>
  <c r="O143"/>
  <c r="R143" s="1"/>
  <c r="S143"/>
  <c r="N145"/>
  <c r="P90"/>
  <c r="Q90" s="1"/>
  <c r="P92"/>
  <c r="Q92" s="1"/>
  <c r="P94"/>
  <c r="Q94" s="1"/>
  <c r="P97"/>
  <c r="Q97" s="1"/>
  <c r="P99"/>
  <c r="Q99" s="1"/>
  <c r="P101"/>
  <c r="Q101" s="1"/>
  <c r="P103"/>
  <c r="Q103" s="1"/>
  <c r="P112"/>
  <c r="Q112" s="1"/>
  <c r="P114"/>
  <c r="Q114" s="1"/>
  <c r="P119"/>
  <c r="Q119" s="1"/>
  <c r="P122"/>
  <c r="Q122" s="1"/>
  <c r="P124"/>
  <c r="Q124" s="1"/>
  <c r="P132"/>
  <c r="Q132" s="1"/>
  <c r="P136"/>
  <c r="Q136" s="1"/>
  <c r="P138"/>
  <c r="Q138" s="1"/>
  <c r="P141"/>
  <c r="Q141" s="1"/>
  <c r="P144"/>
  <c r="Q144" s="1"/>
  <c r="P146"/>
  <c r="Q146" s="1"/>
  <c r="L132" i="18"/>
  <c r="L139"/>
  <c r="L140"/>
  <c r="L141"/>
  <c r="L142"/>
  <c r="L143"/>
  <c r="L135"/>
  <c r="L134"/>
  <c r="L133"/>
  <c r="L131"/>
  <c r="L130"/>
  <c r="L129"/>
  <c r="L128"/>
  <c r="L127"/>
  <c r="L126"/>
  <c r="L125"/>
  <c r="L124"/>
  <c r="L123"/>
  <c r="L122"/>
  <c r="L121"/>
  <c r="L120"/>
  <c r="L119"/>
  <c r="L118"/>
  <c r="L117"/>
  <c r="L116"/>
  <c r="L115"/>
  <c r="L114"/>
  <c r="L113"/>
  <c r="L112"/>
  <c r="L136"/>
  <c r="L111"/>
  <c r="L110"/>
  <c r="L109"/>
  <c r="L108"/>
  <c r="L107"/>
  <c r="L106"/>
  <c r="L105"/>
  <c r="L104"/>
  <c r="L103"/>
  <c r="L146"/>
  <c r="L137"/>
  <c r="L102"/>
  <c r="L101"/>
  <c r="L100"/>
  <c r="L99"/>
  <c r="L98"/>
  <c r="L97"/>
  <c r="L96"/>
  <c r="L95"/>
  <c r="L94"/>
  <c r="L93"/>
  <c r="L92"/>
  <c r="L91"/>
  <c r="L90"/>
  <c r="L89"/>
  <c r="L88"/>
  <c r="L87"/>
  <c r="L86"/>
  <c r="L138"/>
  <c r="L85"/>
  <c r="L84"/>
  <c r="L145"/>
  <c r="L83"/>
  <c r="L82"/>
  <c r="L81"/>
  <c r="L79"/>
  <c r="L80"/>
  <c r="L78"/>
  <c r="L77"/>
  <c r="L76"/>
  <c r="L75"/>
  <c r="L43"/>
  <c r="L74"/>
  <c r="L73"/>
  <c r="L72"/>
  <c r="L71"/>
  <c r="L70"/>
  <c r="L69"/>
  <c r="L68"/>
  <c r="L67"/>
  <c r="L66"/>
  <c r="L65"/>
  <c r="L64"/>
  <c r="L63"/>
  <c r="L62"/>
  <c r="L61"/>
  <c r="L60"/>
  <c r="L59"/>
  <c r="L58"/>
  <c r="L57"/>
  <c r="L56"/>
  <c r="L55"/>
  <c r="L54"/>
  <c r="L53"/>
  <c r="L52"/>
  <c r="L51"/>
  <c r="L50"/>
  <c r="L49"/>
  <c r="L48"/>
  <c r="L47"/>
  <c r="L46"/>
  <c r="P147"/>
  <c r="N147"/>
  <c r="Q147"/>
  <c r="L45"/>
  <c r="L44"/>
  <c r="L42"/>
  <c r="L41"/>
  <c r="L40"/>
  <c r="L39"/>
  <c r="L38"/>
  <c r="L37"/>
  <c r="L36"/>
  <c r="L35"/>
  <c r="L34"/>
  <c r="L33"/>
  <c r="L32"/>
  <c r="L31"/>
  <c r="L30"/>
  <c r="L29"/>
  <c r="L28"/>
  <c r="L27"/>
  <c r="L26"/>
  <c r="L25"/>
  <c r="L24"/>
  <c r="L23"/>
  <c r="L22"/>
  <c r="L21"/>
  <c r="L20"/>
  <c r="L19"/>
  <c r="L18"/>
  <c r="L17"/>
  <c r="R147"/>
  <c r="M147"/>
  <c r="R144"/>
  <c r="G148"/>
  <c r="H148"/>
  <c r="I148"/>
  <c r="J148"/>
  <c r="K148"/>
  <c r="R17"/>
  <c r="B148"/>
  <c r="U149" s="1"/>
  <c r="C148"/>
  <c r="D148"/>
  <c r="O148" i="19" l="1"/>
  <c r="N148"/>
  <c r="P148" s="1"/>
  <c r="R145"/>
  <c r="P145"/>
  <c r="Q145" s="1"/>
  <c r="R129"/>
  <c r="P129"/>
  <c r="Q129" s="1"/>
  <c r="R123"/>
  <c r="P123"/>
  <c r="Q123" s="1"/>
  <c r="R113"/>
  <c r="P113"/>
  <c r="Q113" s="1"/>
  <c r="R102"/>
  <c r="P102"/>
  <c r="Q102" s="1"/>
  <c r="R93"/>
  <c r="P93"/>
  <c r="Q93" s="1"/>
  <c r="R140"/>
  <c r="P140"/>
  <c r="Q140" s="1"/>
  <c r="R135"/>
  <c r="P135"/>
  <c r="Q135" s="1"/>
  <c r="R130"/>
  <c r="P130"/>
  <c r="Q130" s="1"/>
  <c r="R128"/>
  <c r="P128"/>
  <c r="Q128" s="1"/>
  <c r="R121"/>
  <c r="P121"/>
  <c r="Q121" s="1"/>
  <c r="R117"/>
  <c r="P117"/>
  <c r="Q117" s="1"/>
  <c r="R111"/>
  <c r="P111"/>
  <c r="Q111" s="1"/>
  <c r="R109"/>
  <c r="P109"/>
  <c r="Q109" s="1"/>
  <c r="R100"/>
  <c r="P100"/>
  <c r="Q100" s="1"/>
  <c r="R96"/>
  <c r="P96"/>
  <c r="Q96" s="1"/>
  <c r="R91"/>
  <c r="P91"/>
  <c r="Q91" s="1"/>
  <c r="R56"/>
  <c r="P56"/>
  <c r="Q56" s="1"/>
  <c r="P55"/>
  <c r="Q55" s="1"/>
  <c r="R55"/>
  <c r="R41"/>
  <c r="P41"/>
  <c r="Q41" s="1"/>
  <c r="R37"/>
  <c r="P37"/>
  <c r="Q37" s="1"/>
  <c r="R33"/>
  <c r="P33"/>
  <c r="Q33" s="1"/>
  <c r="R28"/>
  <c r="P28"/>
  <c r="Q28" s="1"/>
  <c r="R24"/>
  <c r="P24"/>
  <c r="Q24" s="1"/>
  <c r="R20"/>
  <c r="P20"/>
  <c r="Q20" s="1"/>
  <c r="S148"/>
  <c r="R137"/>
  <c r="P137"/>
  <c r="Q137" s="1"/>
  <c r="R131"/>
  <c r="P131"/>
  <c r="Q131" s="1"/>
  <c r="R118"/>
  <c r="P118"/>
  <c r="Q118" s="1"/>
  <c r="R110"/>
  <c r="P110"/>
  <c r="Q110" s="1"/>
  <c r="R98"/>
  <c r="P98"/>
  <c r="Q98" s="1"/>
  <c r="R89"/>
  <c r="P89"/>
  <c r="Q89" s="1"/>
  <c r="R30"/>
  <c r="P30"/>
  <c r="Q30" s="1"/>
  <c r="P57"/>
  <c r="Q57" s="1"/>
  <c r="R57"/>
  <c r="R43"/>
  <c r="P43"/>
  <c r="Q43" s="1"/>
  <c r="R39"/>
  <c r="P39"/>
  <c r="Q39" s="1"/>
  <c r="R35"/>
  <c r="P35"/>
  <c r="Q35" s="1"/>
  <c r="R31"/>
  <c r="P31"/>
  <c r="Q31" s="1"/>
  <c r="R26"/>
  <c r="P26"/>
  <c r="Q26" s="1"/>
  <c r="R22"/>
  <c r="P22"/>
  <c r="Q22" s="1"/>
  <c r="R18"/>
  <c r="P18"/>
  <c r="Q18" s="1"/>
  <c r="L148" i="18"/>
  <c r="M17"/>
  <c r="M84"/>
  <c r="R84"/>
  <c r="N84"/>
  <c r="F116"/>
  <c r="F110"/>
  <c r="F95"/>
  <c r="F104"/>
  <c r="F108"/>
  <c r="F139"/>
  <c r="F107"/>
  <c r="F134"/>
  <c r="F57"/>
  <c r="F56"/>
  <c r="F55"/>
  <c r="F53"/>
  <c r="F133"/>
  <c r="F143"/>
  <c r="F131"/>
  <c r="F130"/>
  <c r="F129"/>
  <c r="F52"/>
  <c r="M127"/>
  <c r="F127"/>
  <c r="F126"/>
  <c r="F125"/>
  <c r="F142"/>
  <c r="F49"/>
  <c r="F120"/>
  <c r="F118"/>
  <c r="F48"/>
  <c r="F47"/>
  <c r="F46"/>
  <c r="F45"/>
  <c r="F44"/>
  <c r="F115"/>
  <c r="F106"/>
  <c r="F72"/>
  <c r="E72"/>
  <c r="E148" s="1"/>
  <c r="F105"/>
  <c r="O17" l="1"/>
  <c r="P17" s="1"/>
  <c r="M142"/>
  <c r="N142"/>
  <c r="R148" i="19"/>
  <c r="Q148"/>
  <c r="O127" i="18"/>
  <c r="P127" s="1"/>
  <c r="O84"/>
  <c r="P84" s="1"/>
  <c r="Q84"/>
  <c r="F30"/>
  <c r="F111"/>
  <c r="O142" l="1"/>
  <c r="P142" s="1"/>
  <c r="Q142"/>
  <c r="F148"/>
  <c r="S148" s="1"/>
  <c r="C15"/>
  <c r="D15"/>
  <c r="E15"/>
  <c r="F15"/>
  <c r="G15"/>
  <c r="H15"/>
  <c r="I15"/>
  <c r="J15"/>
  <c r="K15"/>
  <c r="L15"/>
  <c r="B15"/>
  <c r="M18"/>
  <c r="M19"/>
  <c r="M20"/>
  <c r="M21"/>
  <c r="M22"/>
  <c r="M23"/>
  <c r="M24"/>
  <c r="M25"/>
  <c r="M26"/>
  <c r="M27"/>
  <c r="M28"/>
  <c r="M29"/>
  <c r="M30"/>
  <c r="M31"/>
  <c r="M32"/>
  <c r="M33"/>
  <c r="M34"/>
  <c r="M35"/>
  <c r="M36"/>
  <c r="M37"/>
  <c r="M38"/>
  <c r="M39"/>
  <c r="M40"/>
  <c r="M41"/>
  <c r="M42"/>
  <c r="M43"/>
  <c r="M44"/>
  <c r="M45"/>
  <c r="M46"/>
  <c r="M47"/>
  <c r="M48"/>
  <c r="M49"/>
  <c r="M50"/>
  <c r="M51"/>
  <c r="M52"/>
  <c r="M53"/>
  <c r="M54"/>
  <c r="M55"/>
  <c r="M56"/>
  <c r="M57"/>
  <c r="M58"/>
  <c r="M59"/>
  <c r="M60"/>
  <c r="M61"/>
  <c r="M62"/>
  <c r="M63"/>
  <c r="M64"/>
  <c r="M65"/>
  <c r="M66"/>
  <c r="M67"/>
  <c r="M68"/>
  <c r="M69"/>
  <c r="M70"/>
  <c r="M71"/>
  <c r="M72"/>
  <c r="M73"/>
  <c r="M74"/>
  <c r="M75"/>
  <c r="M76"/>
  <c r="M77"/>
  <c r="M78"/>
  <c r="M79"/>
  <c r="M80"/>
  <c r="M81"/>
  <c r="M82"/>
  <c r="M83"/>
  <c r="M85"/>
  <c r="M86"/>
  <c r="M87"/>
  <c r="M88"/>
  <c r="M89"/>
  <c r="M90"/>
  <c r="M91"/>
  <c r="M92"/>
  <c r="M93"/>
  <c r="M94"/>
  <c r="M95"/>
  <c r="M96"/>
  <c r="M97"/>
  <c r="M98"/>
  <c r="M99"/>
  <c r="M100"/>
  <c r="M101"/>
  <c r="M102"/>
  <c r="M103"/>
  <c r="M104"/>
  <c r="M105"/>
  <c r="M5"/>
  <c r="M6"/>
  <c r="M7"/>
  <c r="M8"/>
  <c r="M9"/>
  <c r="M10"/>
  <c r="M11"/>
  <c r="M12"/>
  <c r="M13"/>
  <c r="M14"/>
  <c r="M4"/>
  <c r="R146"/>
  <c r="N146"/>
  <c r="M146"/>
  <c r="R145"/>
  <c r="N145"/>
  <c r="M145"/>
  <c r="N144"/>
  <c r="M144"/>
  <c r="R143"/>
  <c r="N143"/>
  <c r="M143"/>
  <c r="R142"/>
  <c r="R141"/>
  <c r="N141"/>
  <c r="M141"/>
  <c r="R140"/>
  <c r="N140"/>
  <c r="M140"/>
  <c r="R139"/>
  <c r="N139"/>
  <c r="M139"/>
  <c r="R138"/>
  <c r="N138"/>
  <c r="M138"/>
  <c r="R137"/>
  <c r="N137"/>
  <c r="M137"/>
  <c r="R136"/>
  <c r="N136"/>
  <c r="M136"/>
  <c r="R135"/>
  <c r="N135"/>
  <c r="M135"/>
  <c r="R134"/>
  <c r="N134"/>
  <c r="M134"/>
  <c r="R133"/>
  <c r="N133"/>
  <c r="M133"/>
  <c r="R132"/>
  <c r="N132"/>
  <c r="M132"/>
  <c r="R131"/>
  <c r="N131"/>
  <c r="M131"/>
  <c r="R130"/>
  <c r="N130"/>
  <c r="M130"/>
  <c r="R129"/>
  <c r="N129"/>
  <c r="M129"/>
  <c r="R128"/>
  <c r="N128"/>
  <c r="M128"/>
  <c r="R127"/>
  <c r="N127"/>
  <c r="Q127" s="1"/>
  <c r="R126"/>
  <c r="N126"/>
  <c r="M126"/>
  <c r="R125"/>
  <c r="N125"/>
  <c r="M125"/>
  <c r="R124"/>
  <c r="N124"/>
  <c r="M124"/>
  <c r="R123"/>
  <c r="N123"/>
  <c r="M123"/>
  <c r="R122"/>
  <c r="N122"/>
  <c r="M122"/>
  <c r="R121"/>
  <c r="N121"/>
  <c r="M121"/>
  <c r="R120"/>
  <c r="N120"/>
  <c r="M120"/>
  <c r="R119"/>
  <c r="N119"/>
  <c r="M119"/>
  <c r="R118"/>
  <c r="N118"/>
  <c r="M118"/>
  <c r="R117"/>
  <c r="N117"/>
  <c r="M117"/>
  <c r="R116"/>
  <c r="N116"/>
  <c r="M116"/>
  <c r="R115"/>
  <c r="N115"/>
  <c r="M115"/>
  <c r="R114"/>
  <c r="N114"/>
  <c r="M114"/>
  <c r="R113"/>
  <c r="N113"/>
  <c r="M113"/>
  <c r="R112"/>
  <c r="N112"/>
  <c r="M112"/>
  <c r="R111"/>
  <c r="N111"/>
  <c r="M111"/>
  <c r="R110"/>
  <c r="N110"/>
  <c r="M110"/>
  <c r="R109"/>
  <c r="N109"/>
  <c r="M109"/>
  <c r="R108"/>
  <c r="N108"/>
  <c r="M108"/>
  <c r="R107"/>
  <c r="N107"/>
  <c r="M107"/>
  <c r="R106"/>
  <c r="N106"/>
  <c r="M106"/>
  <c r="R105"/>
  <c r="N105"/>
  <c r="R104"/>
  <c r="N104"/>
  <c r="R103"/>
  <c r="N103"/>
  <c r="R102"/>
  <c r="N102"/>
  <c r="R101"/>
  <c r="N101"/>
  <c r="R100"/>
  <c r="N100"/>
  <c r="R99"/>
  <c r="N99"/>
  <c r="R98"/>
  <c r="N98"/>
  <c r="R97"/>
  <c r="N97"/>
  <c r="R96"/>
  <c r="N96"/>
  <c r="R95"/>
  <c r="N95"/>
  <c r="R94"/>
  <c r="N94"/>
  <c r="R93"/>
  <c r="N93"/>
  <c r="R92"/>
  <c r="N92"/>
  <c r="R91"/>
  <c r="N91"/>
  <c r="R90"/>
  <c r="N90"/>
  <c r="R89"/>
  <c r="N89"/>
  <c r="R88"/>
  <c r="N88"/>
  <c r="R87"/>
  <c r="N87"/>
  <c r="R86"/>
  <c r="N86"/>
  <c r="R85"/>
  <c r="N85"/>
  <c r="R83"/>
  <c r="N83"/>
  <c r="R82"/>
  <c r="N82"/>
  <c r="R81"/>
  <c r="N81"/>
  <c r="R80"/>
  <c r="N80"/>
  <c r="R79"/>
  <c r="N79"/>
  <c r="R78"/>
  <c r="N78"/>
  <c r="R77"/>
  <c r="N77"/>
  <c r="R76"/>
  <c r="N76"/>
  <c r="R75"/>
  <c r="N75"/>
  <c r="R74"/>
  <c r="N74"/>
  <c r="R73"/>
  <c r="N73"/>
  <c r="R72"/>
  <c r="N72"/>
  <c r="R71"/>
  <c r="N71"/>
  <c r="R70"/>
  <c r="N70"/>
  <c r="R69"/>
  <c r="N69"/>
  <c r="R68"/>
  <c r="N68"/>
  <c r="R67"/>
  <c r="N67"/>
  <c r="R66"/>
  <c r="N66"/>
  <c r="R65"/>
  <c r="N65"/>
  <c r="R64"/>
  <c r="N64"/>
  <c r="R63"/>
  <c r="N63"/>
  <c r="R62"/>
  <c r="N62"/>
  <c r="R61"/>
  <c r="N61"/>
  <c r="R60"/>
  <c r="N60"/>
  <c r="R59"/>
  <c r="N59"/>
  <c r="R58"/>
  <c r="N58"/>
  <c r="R57"/>
  <c r="N57"/>
  <c r="R56"/>
  <c r="N56"/>
  <c r="R55"/>
  <c r="N55"/>
  <c r="R54"/>
  <c r="N54"/>
  <c r="R53"/>
  <c r="N53"/>
  <c r="R52"/>
  <c r="N52"/>
  <c r="R51"/>
  <c r="N51"/>
  <c r="R50"/>
  <c r="N50"/>
  <c r="R49"/>
  <c r="N49"/>
  <c r="R48"/>
  <c r="N48"/>
  <c r="R47"/>
  <c r="N47"/>
  <c r="R46"/>
  <c r="N46"/>
  <c r="R45"/>
  <c r="N45"/>
  <c r="R44"/>
  <c r="N44"/>
  <c r="R43"/>
  <c r="N43"/>
  <c r="R42"/>
  <c r="N42"/>
  <c r="R41"/>
  <c r="N41"/>
  <c r="R40"/>
  <c r="N40"/>
  <c r="R39"/>
  <c r="N39"/>
  <c r="R38"/>
  <c r="N38"/>
  <c r="R37"/>
  <c r="N37"/>
  <c r="R36"/>
  <c r="N36"/>
  <c r="R35"/>
  <c r="N35"/>
  <c r="R34"/>
  <c r="N34"/>
  <c r="R33"/>
  <c r="N33"/>
  <c r="R32"/>
  <c r="N32"/>
  <c r="R31"/>
  <c r="N31"/>
  <c r="R30"/>
  <c r="N30"/>
  <c r="R29"/>
  <c r="N29"/>
  <c r="R28"/>
  <c r="N28"/>
  <c r="R27"/>
  <c r="N27"/>
  <c r="R26"/>
  <c r="N26"/>
  <c r="R25"/>
  <c r="N25"/>
  <c r="R24"/>
  <c r="N24"/>
  <c r="R23"/>
  <c r="N23"/>
  <c r="R22"/>
  <c r="N22"/>
  <c r="R21"/>
  <c r="N21"/>
  <c r="R20"/>
  <c r="N20"/>
  <c r="R19"/>
  <c r="N19"/>
  <c r="R18"/>
  <c r="N18"/>
  <c r="N17"/>
  <c r="R16"/>
  <c r="R14"/>
  <c r="N14"/>
  <c r="R13"/>
  <c r="N13"/>
  <c r="R12"/>
  <c r="N12"/>
  <c r="R11"/>
  <c r="N11"/>
  <c r="R10"/>
  <c r="N10"/>
  <c r="R9"/>
  <c r="N9"/>
  <c r="R8"/>
  <c r="N8"/>
  <c r="R7"/>
  <c r="N7"/>
  <c r="R6"/>
  <c r="N6"/>
  <c r="R5"/>
  <c r="N5"/>
  <c r="R4"/>
  <c r="N4"/>
  <c r="P12" i="17"/>
  <c r="P13"/>
  <c r="P14"/>
  <c r="P15"/>
  <c r="P16"/>
  <c r="P17"/>
  <c r="P18"/>
  <c r="P19"/>
  <c r="P20"/>
  <c r="P21"/>
  <c r="P22"/>
  <c r="P23"/>
  <c r="P24"/>
  <c r="P25"/>
  <c r="P26"/>
  <c r="P27"/>
  <c r="P28"/>
  <c r="P29"/>
  <c r="P30"/>
  <c r="P31"/>
  <c r="P32"/>
  <c r="P33"/>
  <c r="P34"/>
  <c r="P35"/>
  <c r="P36"/>
  <c r="P37"/>
  <c r="P38"/>
  <c r="P39"/>
  <c r="P40"/>
  <c r="P41"/>
  <c r="P42"/>
  <c r="P43"/>
  <c r="P44"/>
  <c r="P45"/>
  <c r="P46"/>
  <c r="P47"/>
  <c r="P48"/>
  <c r="P49"/>
  <c r="P50"/>
  <c r="P51"/>
  <c r="P52"/>
  <c r="P53"/>
  <c r="P54"/>
  <c r="P55"/>
  <c r="P56"/>
  <c r="P57"/>
  <c r="P58"/>
  <c r="P59"/>
  <c r="P60"/>
  <c r="P61"/>
  <c r="P62"/>
  <c r="P63"/>
  <c r="P64"/>
  <c r="P65"/>
  <c r="P66"/>
  <c r="P67"/>
  <c r="P68"/>
  <c r="P69"/>
  <c r="P70"/>
  <c r="P71"/>
  <c r="P72"/>
  <c r="P73"/>
  <c r="P74"/>
  <c r="P75"/>
  <c r="P76"/>
  <c r="P77"/>
  <c r="P78"/>
  <c r="P79"/>
  <c r="P80"/>
  <c r="P81"/>
  <c r="P82"/>
  <c r="P83"/>
  <c r="P84"/>
  <c r="P85"/>
  <c r="P86"/>
  <c r="P87"/>
  <c r="P88"/>
  <c r="P89"/>
  <c r="P90"/>
  <c r="P91"/>
  <c r="P92"/>
  <c r="P93"/>
  <c r="P94"/>
  <c r="P95"/>
  <c r="P96"/>
  <c r="P97"/>
  <c r="P98"/>
  <c r="P99"/>
  <c r="P100"/>
  <c r="P101"/>
  <c r="P102"/>
  <c r="P103"/>
  <c r="P104"/>
  <c r="P105"/>
  <c r="P106"/>
  <c r="P107"/>
  <c r="P108"/>
  <c r="P109"/>
  <c r="P110"/>
  <c r="P111"/>
  <c r="P112"/>
  <c r="P113"/>
  <c r="P114"/>
  <c r="P115"/>
  <c r="P116"/>
  <c r="P117"/>
  <c r="P118"/>
  <c r="P119"/>
  <c r="P120"/>
  <c r="P121"/>
  <c r="P122"/>
  <c r="P123"/>
  <c r="P124"/>
  <c r="P125"/>
  <c r="P126"/>
  <c r="P127"/>
  <c r="P128"/>
  <c r="P129"/>
  <c r="P130"/>
  <c r="P131"/>
  <c r="P132"/>
  <c r="P133"/>
  <c r="P134"/>
  <c r="P135"/>
  <c r="P136"/>
  <c r="P137"/>
  <c r="P138"/>
  <c r="P139"/>
  <c r="P140"/>
  <c r="P141"/>
  <c r="P142"/>
  <c r="P143"/>
  <c r="P144"/>
  <c r="P145"/>
  <c r="P146"/>
  <c r="P147"/>
  <c r="P148"/>
  <c r="P149"/>
  <c r="P150"/>
  <c r="P151"/>
  <c r="P152"/>
  <c r="P153"/>
  <c r="P154"/>
  <c r="P155"/>
  <c r="P156"/>
  <c r="P157"/>
  <c r="P158"/>
  <c r="P159"/>
  <c r="P160"/>
  <c r="P161"/>
  <c r="P162"/>
  <c r="P163"/>
  <c r="P164"/>
  <c r="P11"/>
  <c r="O44" i="18" l="1"/>
  <c r="P44" s="1"/>
  <c r="Q44"/>
  <c r="O42"/>
  <c r="P42" s="1"/>
  <c r="Q42"/>
  <c r="O40"/>
  <c r="P40" s="1"/>
  <c r="Q40"/>
  <c r="O38"/>
  <c r="P38" s="1"/>
  <c r="Q38"/>
  <c r="O36"/>
  <c r="P36" s="1"/>
  <c r="Q36"/>
  <c r="O34"/>
  <c r="P34" s="1"/>
  <c r="Q34"/>
  <c r="O32"/>
  <c r="P32" s="1"/>
  <c r="Q32"/>
  <c r="O30"/>
  <c r="P30" s="1"/>
  <c r="Q30"/>
  <c r="O28"/>
  <c r="P28" s="1"/>
  <c r="Q28"/>
  <c r="O26"/>
  <c r="P26" s="1"/>
  <c r="Q26"/>
  <c r="O24"/>
  <c r="P24" s="1"/>
  <c r="Q24"/>
  <c r="O22"/>
  <c r="P22" s="1"/>
  <c r="Q22"/>
  <c r="O20"/>
  <c r="P20" s="1"/>
  <c r="Q20"/>
  <c r="O18"/>
  <c r="P18" s="1"/>
  <c r="Q18"/>
  <c r="N148"/>
  <c r="Q17"/>
  <c r="O144"/>
  <c r="P144" s="1"/>
  <c r="Q144"/>
  <c r="O45"/>
  <c r="P45" s="1"/>
  <c r="Q45"/>
  <c r="O43"/>
  <c r="P43" s="1"/>
  <c r="Q43"/>
  <c r="O41"/>
  <c r="P41" s="1"/>
  <c r="Q41"/>
  <c r="O39"/>
  <c r="P39" s="1"/>
  <c r="Q39"/>
  <c r="O37"/>
  <c r="P37" s="1"/>
  <c r="Q37"/>
  <c r="O35"/>
  <c r="P35" s="1"/>
  <c r="Q35"/>
  <c r="O33"/>
  <c r="P33" s="1"/>
  <c r="Q33"/>
  <c r="O31"/>
  <c r="P31" s="1"/>
  <c r="Q31"/>
  <c r="O29"/>
  <c r="P29" s="1"/>
  <c r="Q29"/>
  <c r="O27"/>
  <c r="P27" s="1"/>
  <c r="Q27"/>
  <c r="O25"/>
  <c r="P25" s="1"/>
  <c r="Q25"/>
  <c r="O23"/>
  <c r="P23" s="1"/>
  <c r="Q23"/>
  <c r="O21"/>
  <c r="P21" s="1"/>
  <c r="Q21"/>
  <c r="O19"/>
  <c r="P19" s="1"/>
  <c r="Q19"/>
  <c r="O139"/>
  <c r="P139" s="1"/>
  <c r="Q139"/>
  <c r="O140"/>
  <c r="P140" s="1"/>
  <c r="Q140"/>
  <c r="O141"/>
  <c r="P141" s="1"/>
  <c r="Q141"/>
  <c r="Q143"/>
  <c r="O143"/>
  <c r="P143" s="1"/>
  <c r="O135"/>
  <c r="P135" s="1"/>
  <c r="Q135"/>
  <c r="Q134"/>
  <c r="O134"/>
  <c r="P134" s="1"/>
  <c r="O133"/>
  <c r="P133" s="1"/>
  <c r="Q133"/>
  <c r="O132"/>
  <c r="P132" s="1"/>
  <c r="Q132"/>
  <c r="O131"/>
  <c r="P131" s="1"/>
  <c r="Q131"/>
  <c r="O130"/>
  <c r="P130" s="1"/>
  <c r="Q130"/>
  <c r="O129"/>
  <c r="P129" s="1"/>
  <c r="Q129"/>
  <c r="O128"/>
  <c r="P128" s="1"/>
  <c r="Q128"/>
  <c r="O126"/>
  <c r="P126" s="1"/>
  <c r="Q126"/>
  <c r="O125"/>
  <c r="P125" s="1"/>
  <c r="Q125"/>
  <c r="O124"/>
  <c r="P124" s="1"/>
  <c r="Q124"/>
  <c r="O123"/>
  <c r="P123" s="1"/>
  <c r="Q123"/>
  <c r="Q122"/>
  <c r="O122"/>
  <c r="P122" s="1"/>
  <c r="O121"/>
  <c r="P121" s="1"/>
  <c r="Q121"/>
  <c r="O120"/>
  <c r="P120" s="1"/>
  <c r="Q120"/>
  <c r="O119"/>
  <c r="P119" s="1"/>
  <c r="Q119"/>
  <c r="O118"/>
  <c r="P118" s="1"/>
  <c r="Q118"/>
  <c r="O117"/>
  <c r="P117" s="1"/>
  <c r="Q117"/>
  <c r="O116"/>
  <c r="P116" s="1"/>
  <c r="Q116"/>
  <c r="O115"/>
  <c r="P115" s="1"/>
  <c r="Q115"/>
  <c r="Q114"/>
  <c r="O114"/>
  <c r="P114" s="1"/>
  <c r="O113"/>
  <c r="P113" s="1"/>
  <c r="Q113"/>
  <c r="O112"/>
  <c r="P112" s="1"/>
  <c r="Q112"/>
  <c r="O136"/>
  <c r="P136" s="1"/>
  <c r="Q136"/>
  <c r="O111"/>
  <c r="P111" s="1"/>
  <c r="Q111"/>
  <c r="O110"/>
  <c r="P110" s="1"/>
  <c r="Q110"/>
  <c r="Q109"/>
  <c r="O109"/>
  <c r="P109" s="1"/>
  <c r="O108"/>
  <c r="P108" s="1"/>
  <c r="Q108"/>
  <c r="O107"/>
  <c r="P107" s="1"/>
  <c r="Q107"/>
  <c r="O106"/>
  <c r="P106" s="1"/>
  <c r="Q106"/>
  <c r="O105"/>
  <c r="P105" s="1"/>
  <c r="Q105"/>
  <c r="O104"/>
  <c r="P104" s="1"/>
  <c r="Q104"/>
  <c r="O103"/>
  <c r="P103" s="1"/>
  <c r="Q103"/>
  <c r="O146"/>
  <c r="P146" s="1"/>
  <c r="Q146"/>
  <c r="Q137"/>
  <c r="O137"/>
  <c r="P137" s="1"/>
  <c r="O102"/>
  <c r="P102" s="1"/>
  <c r="Q102"/>
  <c r="O101"/>
  <c r="P101" s="1"/>
  <c r="Q101"/>
  <c r="O100"/>
  <c r="P100" s="1"/>
  <c r="Q100"/>
  <c r="O99"/>
  <c r="P99" s="1"/>
  <c r="Q99"/>
  <c r="O98"/>
  <c r="P98" s="1"/>
  <c r="Q98"/>
  <c r="O97"/>
  <c r="P97" s="1"/>
  <c r="Q97"/>
  <c r="O96"/>
  <c r="P96" s="1"/>
  <c r="Q96"/>
  <c r="Q95"/>
  <c r="O95"/>
  <c r="P95" s="1"/>
  <c r="O94"/>
  <c r="P94" s="1"/>
  <c r="Q94"/>
  <c r="O93"/>
  <c r="P93" s="1"/>
  <c r="Q93"/>
  <c r="O92"/>
  <c r="P92" s="1"/>
  <c r="Q92"/>
  <c r="O91"/>
  <c r="P91" s="1"/>
  <c r="Q91"/>
  <c r="O90"/>
  <c r="P90" s="1"/>
  <c r="Q90"/>
  <c r="O89"/>
  <c r="P89" s="1"/>
  <c r="Q89"/>
  <c r="O88"/>
  <c r="P88" s="1"/>
  <c r="Q88"/>
  <c r="O87"/>
  <c r="P87" s="1"/>
  <c r="Q87"/>
  <c r="O86"/>
  <c r="P86" s="1"/>
  <c r="Q86"/>
  <c r="O138"/>
  <c r="P138" s="1"/>
  <c r="Q138"/>
  <c r="O85"/>
  <c r="P85" s="1"/>
  <c r="Q85"/>
  <c r="O145"/>
  <c r="P145" s="1"/>
  <c r="Q145"/>
  <c r="O83"/>
  <c r="P83" s="1"/>
  <c r="Q83"/>
  <c r="O82"/>
  <c r="P82" s="1"/>
  <c r="Q82"/>
  <c r="O81"/>
  <c r="P81" s="1"/>
  <c r="Q81"/>
  <c r="O80"/>
  <c r="P80" s="1"/>
  <c r="Q80"/>
  <c r="O79"/>
  <c r="P79" s="1"/>
  <c r="Q79"/>
  <c r="O78"/>
  <c r="P78" s="1"/>
  <c r="Q78"/>
  <c r="O77"/>
  <c r="P77" s="1"/>
  <c r="Q77"/>
  <c r="O76"/>
  <c r="P76" s="1"/>
  <c r="Q76"/>
  <c r="O75"/>
  <c r="P75" s="1"/>
  <c r="Q75"/>
  <c r="O74"/>
  <c r="P74" s="1"/>
  <c r="Q74"/>
  <c r="Q73"/>
  <c r="O73"/>
  <c r="P73" s="1"/>
  <c r="O72"/>
  <c r="P72" s="1"/>
  <c r="Q72"/>
  <c r="Q71"/>
  <c r="O71"/>
  <c r="P71" s="1"/>
  <c r="O70"/>
  <c r="P70" s="1"/>
  <c r="Q70"/>
  <c r="Q69"/>
  <c r="O69"/>
  <c r="P69" s="1"/>
  <c r="O68"/>
  <c r="P68" s="1"/>
  <c r="Q68"/>
  <c r="Q67"/>
  <c r="O67"/>
  <c r="P67" s="1"/>
  <c r="O66"/>
  <c r="P66" s="1"/>
  <c r="Q66"/>
  <c r="Q65"/>
  <c r="O65"/>
  <c r="P65" s="1"/>
  <c r="O64"/>
  <c r="P64" s="1"/>
  <c r="Q64"/>
  <c r="Q63"/>
  <c r="O63"/>
  <c r="P63" s="1"/>
  <c r="O62"/>
  <c r="P62" s="1"/>
  <c r="Q62"/>
  <c r="Q61"/>
  <c r="O61"/>
  <c r="P61" s="1"/>
  <c r="O60"/>
  <c r="P60" s="1"/>
  <c r="Q60"/>
  <c r="Q59"/>
  <c r="O59"/>
  <c r="P59" s="1"/>
  <c r="O58"/>
  <c r="P58" s="1"/>
  <c r="Q58"/>
  <c r="Q57"/>
  <c r="O57"/>
  <c r="P57" s="1"/>
  <c r="O56"/>
  <c r="P56" s="1"/>
  <c r="Q56"/>
  <c r="Q55"/>
  <c r="O55"/>
  <c r="P55" s="1"/>
  <c r="O54"/>
  <c r="P54" s="1"/>
  <c r="Q54"/>
  <c r="Q53"/>
  <c r="O53"/>
  <c r="P53" s="1"/>
  <c r="O52"/>
  <c r="P52" s="1"/>
  <c r="Q52"/>
  <c r="Q51"/>
  <c r="O51"/>
  <c r="P51" s="1"/>
  <c r="O50"/>
  <c r="P50" s="1"/>
  <c r="Q50"/>
  <c r="Q49"/>
  <c r="O49"/>
  <c r="P49" s="1"/>
  <c r="O48"/>
  <c r="P48" s="1"/>
  <c r="Q48"/>
  <c r="Q47"/>
  <c r="O47"/>
  <c r="P47" s="1"/>
  <c r="O46"/>
  <c r="P46" s="1"/>
  <c r="Q46"/>
  <c r="M148"/>
  <c r="O148" s="1"/>
  <c r="R148"/>
  <c r="N15"/>
  <c r="M15"/>
  <c r="R15"/>
  <c r="P6"/>
  <c r="Q6" s="1"/>
  <c r="P10"/>
  <c r="Q10" s="1"/>
  <c r="P14"/>
  <c r="Q14" s="1"/>
  <c r="P5"/>
  <c r="Q5" s="1"/>
  <c r="P9"/>
  <c r="Q9" s="1"/>
  <c r="O10"/>
  <c r="O14"/>
  <c r="O5"/>
  <c r="O9"/>
  <c r="Q148" l="1"/>
  <c r="P148"/>
  <c r="O6"/>
  <c r="O11"/>
  <c r="P11"/>
  <c r="Q11" s="1"/>
  <c r="O7"/>
  <c r="P7"/>
  <c r="Q7" s="1"/>
  <c r="O8"/>
  <c r="P8"/>
  <c r="Q8" s="1"/>
  <c r="P4"/>
  <c r="O4"/>
  <c r="O15" s="1"/>
  <c r="P13"/>
  <c r="Q13" s="1"/>
  <c r="O13"/>
  <c r="P12"/>
  <c r="Q12" s="1"/>
  <c r="O12"/>
  <c r="H107" i="17"/>
  <c r="H108"/>
  <c r="H109"/>
  <c r="H110"/>
  <c r="H100"/>
  <c r="H97"/>
  <c r="K91"/>
  <c r="H91"/>
  <c r="H79"/>
  <c r="H80"/>
  <c r="H65"/>
  <c r="H60"/>
  <c r="H56"/>
  <c r="H57"/>
  <c r="H58"/>
  <c r="H52"/>
  <c r="K47"/>
  <c r="H47"/>
  <c r="K65"/>
  <c r="E65"/>
  <c r="E60"/>
  <c r="E56"/>
  <c r="E57"/>
  <c r="E58"/>
  <c r="E52"/>
  <c r="K52"/>
  <c r="K60"/>
  <c r="K56"/>
  <c r="K57"/>
  <c r="K58"/>
  <c r="E79"/>
  <c r="E80"/>
  <c r="K79"/>
  <c r="K80"/>
  <c r="K107"/>
  <c r="K108"/>
  <c r="K109"/>
  <c r="K110"/>
  <c r="E107"/>
  <c r="E109"/>
  <c r="E110"/>
  <c r="K100"/>
  <c r="E100"/>
  <c r="K97"/>
  <c r="E97"/>
  <c r="K137"/>
  <c r="K138"/>
  <c r="K139"/>
  <c r="K140"/>
  <c r="K141"/>
  <c r="K142"/>
  <c r="K143"/>
  <c r="K144"/>
  <c r="K145"/>
  <c r="K146"/>
  <c r="K147"/>
  <c r="K148"/>
  <c r="K149"/>
  <c r="K150"/>
  <c r="K151"/>
  <c r="K152"/>
  <c r="K153"/>
  <c r="K154"/>
  <c r="K155"/>
  <c r="K156"/>
  <c r="K157"/>
  <c r="K158"/>
  <c r="K159"/>
  <c r="K160"/>
  <c r="K161"/>
  <c r="K162"/>
  <c r="K163"/>
  <c r="K164"/>
  <c r="H144"/>
  <c r="H145"/>
  <c r="H146"/>
  <c r="H147"/>
  <c r="H148"/>
  <c r="H149"/>
  <c r="H150"/>
  <c r="H151"/>
  <c r="H152"/>
  <c r="H153"/>
  <c r="H154"/>
  <c r="H155"/>
  <c r="H156"/>
  <c r="H157"/>
  <c r="H158"/>
  <c r="H159"/>
  <c r="H160"/>
  <c r="H161"/>
  <c r="H162"/>
  <c r="H163"/>
  <c r="H164"/>
  <c r="E137"/>
  <c r="E138"/>
  <c r="E139"/>
  <c r="E140"/>
  <c r="E141"/>
  <c r="E142"/>
  <c r="E143"/>
  <c r="E144"/>
  <c r="E145"/>
  <c r="E146"/>
  <c r="E147"/>
  <c r="E148"/>
  <c r="E149"/>
  <c r="E150"/>
  <c r="E151"/>
  <c r="E152"/>
  <c r="E153"/>
  <c r="E154"/>
  <c r="E155"/>
  <c r="E156"/>
  <c r="E157"/>
  <c r="E158"/>
  <c r="E159"/>
  <c r="E160"/>
  <c r="E161"/>
  <c r="E162"/>
  <c r="E163"/>
  <c r="E164"/>
  <c r="E125"/>
  <c r="E47"/>
  <c r="K44"/>
  <c r="H44"/>
  <c r="E44"/>
  <c r="E126"/>
  <c r="E127"/>
  <c r="E128"/>
  <c r="E129"/>
  <c r="E131"/>
  <c r="H131"/>
  <c r="E132"/>
  <c r="H132"/>
  <c r="E133"/>
  <c r="H133"/>
  <c r="E134"/>
  <c r="H134"/>
  <c r="E136"/>
  <c r="H136"/>
  <c r="H137"/>
  <c r="H138"/>
  <c r="H139"/>
  <c r="H140"/>
  <c r="H141"/>
  <c r="H142"/>
  <c r="H143"/>
  <c r="E34" i="13"/>
  <c r="Q4" i="18" l="1"/>
  <c r="Q15" s="1"/>
  <c r="P15"/>
  <c r="H12" i="17"/>
  <c r="K12"/>
  <c r="H13"/>
  <c r="K13"/>
  <c r="H14"/>
  <c r="K14"/>
  <c r="H15"/>
  <c r="K15"/>
  <c r="H16"/>
  <c r="K16"/>
  <c r="H17"/>
  <c r="K17"/>
  <c r="H18"/>
  <c r="K18"/>
  <c r="H19"/>
  <c r="K19"/>
  <c r="H20"/>
  <c r="K20"/>
  <c r="H21"/>
  <c r="K21"/>
  <c r="H22"/>
  <c r="K22"/>
  <c r="H23"/>
  <c r="K23"/>
  <c r="H24"/>
  <c r="K24"/>
  <c r="H25"/>
  <c r="K25"/>
  <c r="H26"/>
  <c r="K26"/>
  <c r="H27"/>
  <c r="K27"/>
  <c r="H28"/>
  <c r="K28"/>
  <c r="H29"/>
  <c r="K29"/>
  <c r="H30"/>
  <c r="K30"/>
  <c r="H31"/>
  <c r="K31"/>
  <c r="H32"/>
  <c r="K32"/>
  <c r="H33"/>
  <c r="K33"/>
  <c r="H34"/>
  <c r="K34"/>
  <c r="H35"/>
  <c r="K35"/>
  <c r="H36"/>
  <c r="K36"/>
  <c r="H37"/>
  <c r="K37"/>
  <c r="H38"/>
  <c r="K38"/>
  <c r="H39"/>
  <c r="K39"/>
  <c r="H40"/>
  <c r="K40"/>
  <c r="H41"/>
  <c r="K41"/>
  <c r="H42"/>
  <c r="K42"/>
  <c r="H43"/>
  <c r="K43"/>
  <c r="H45"/>
  <c r="K45"/>
  <c r="H46"/>
  <c r="K46"/>
  <c r="H48"/>
  <c r="K48"/>
  <c r="H49"/>
  <c r="K49"/>
  <c r="H50"/>
  <c r="K50"/>
  <c r="H51"/>
  <c r="K51"/>
  <c r="H53"/>
  <c r="K53"/>
  <c r="H54"/>
  <c r="K54"/>
  <c r="H55"/>
  <c r="K55"/>
  <c r="H59"/>
  <c r="K59"/>
  <c r="H61"/>
  <c r="K61"/>
  <c r="H62"/>
  <c r="K62"/>
  <c r="H63"/>
  <c r="K63"/>
  <c r="H64"/>
  <c r="K64"/>
  <c r="H66"/>
  <c r="K66"/>
  <c r="H67"/>
  <c r="K67"/>
  <c r="H68"/>
  <c r="K68"/>
  <c r="H69"/>
  <c r="K69"/>
  <c r="H70"/>
  <c r="K70"/>
  <c r="H71"/>
  <c r="K71"/>
  <c r="H72"/>
  <c r="K72"/>
  <c r="H73"/>
  <c r="K73"/>
  <c r="H74"/>
  <c r="K74"/>
  <c r="H75"/>
  <c r="K75"/>
  <c r="H76"/>
  <c r="K76"/>
  <c r="H77"/>
  <c r="K77"/>
  <c r="H78"/>
  <c r="K78"/>
  <c r="H81"/>
  <c r="K81"/>
  <c r="H82"/>
  <c r="K82"/>
  <c r="H83"/>
  <c r="K83"/>
  <c r="H84"/>
  <c r="K84"/>
  <c r="H85"/>
  <c r="K85"/>
  <c r="H86"/>
  <c r="K86"/>
  <c r="H87"/>
  <c r="K87"/>
  <c r="H88"/>
  <c r="K88"/>
  <c r="H89"/>
  <c r="K89"/>
  <c r="H90"/>
  <c r="K90"/>
  <c r="H92"/>
  <c r="K92"/>
  <c r="H93"/>
  <c r="K93"/>
  <c r="H94"/>
  <c r="K94"/>
  <c r="H95"/>
  <c r="K95"/>
  <c r="H96"/>
  <c r="K96"/>
  <c r="H98"/>
  <c r="K98"/>
  <c r="H99"/>
  <c r="K99"/>
  <c r="H101"/>
  <c r="K101"/>
  <c r="H102"/>
  <c r="K102"/>
  <c r="H103"/>
  <c r="K103"/>
  <c r="H104"/>
  <c r="K104"/>
  <c r="H105"/>
  <c r="K105"/>
  <c r="H106"/>
  <c r="K106"/>
  <c r="H111"/>
  <c r="K111"/>
  <c r="H112"/>
  <c r="K112"/>
  <c r="H113"/>
  <c r="K113"/>
  <c r="H114"/>
  <c r="K114"/>
  <c r="H115"/>
  <c r="K115"/>
  <c r="H116"/>
  <c r="K116"/>
  <c r="H117"/>
  <c r="K117"/>
  <c r="H118"/>
  <c r="K118"/>
  <c r="H119"/>
  <c r="K119"/>
  <c r="H120"/>
  <c r="K120"/>
  <c r="H121"/>
  <c r="K121"/>
  <c r="H122"/>
  <c r="K122"/>
  <c r="H123"/>
  <c r="K123"/>
  <c r="H124"/>
  <c r="K124"/>
  <c r="H125"/>
  <c r="K125"/>
  <c r="H126"/>
  <c r="K126"/>
  <c r="H127"/>
  <c r="K127"/>
  <c r="H128"/>
  <c r="K128"/>
  <c r="H129"/>
  <c r="K129"/>
  <c r="K131"/>
  <c r="K132"/>
  <c r="K133"/>
  <c r="K134"/>
  <c r="K136"/>
  <c r="K11"/>
  <c r="H11"/>
  <c r="E124"/>
  <c r="E123"/>
  <c r="E122"/>
  <c r="E121"/>
  <c r="E120"/>
  <c r="E119"/>
  <c r="E118"/>
  <c r="E117"/>
  <c r="E116"/>
  <c r="E115"/>
  <c r="E114"/>
  <c r="E113"/>
  <c r="E112"/>
  <c r="E111"/>
  <c r="E108"/>
  <c r="E106"/>
  <c r="E105"/>
  <c r="E104"/>
  <c r="E103"/>
  <c r="E102"/>
  <c r="E101"/>
  <c r="E99"/>
  <c r="E98"/>
  <c r="E96"/>
  <c r="E95"/>
  <c r="E94"/>
  <c r="E93"/>
  <c r="E92"/>
  <c r="E90"/>
  <c r="E89"/>
  <c r="E88"/>
  <c r="E87"/>
  <c r="E86"/>
  <c r="E85"/>
  <c r="E84"/>
  <c r="E83"/>
  <c r="E82"/>
  <c r="E81"/>
  <c r="E78"/>
  <c r="E77"/>
  <c r="E76"/>
  <c r="E75"/>
  <c r="E74"/>
  <c r="E73"/>
  <c r="E72"/>
  <c r="E71"/>
  <c r="E70"/>
  <c r="E69"/>
  <c r="E68"/>
  <c r="E67"/>
  <c r="E66"/>
  <c r="E64"/>
  <c r="E63"/>
  <c r="E62"/>
  <c r="E61"/>
  <c r="E59"/>
  <c r="E55"/>
  <c r="E54"/>
  <c r="E53"/>
  <c r="E51"/>
  <c r="E50"/>
  <c r="E49"/>
  <c r="E48"/>
  <c r="E46"/>
  <c r="E45"/>
  <c r="E43"/>
  <c r="E42"/>
  <c r="E41"/>
  <c r="E40"/>
  <c r="E39"/>
  <c r="E38"/>
  <c r="E37"/>
  <c r="E36"/>
  <c r="E35"/>
  <c r="E34"/>
  <c r="E33"/>
  <c r="E32"/>
  <c r="E31"/>
  <c r="E30"/>
  <c r="E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F88" i="13" l="1"/>
  <c r="E88"/>
  <c r="D84"/>
  <c r="G84" s="1"/>
  <c r="D76"/>
  <c r="G76" s="1"/>
  <c r="D68"/>
  <c r="F61"/>
  <c r="E61"/>
  <c r="G57"/>
  <c r="D57"/>
  <c r="D49"/>
  <c r="G49" s="1"/>
  <c r="D41"/>
  <c r="G41" s="1"/>
  <c r="G61" l="1"/>
  <c r="G68"/>
  <c r="G88" s="1"/>
  <c r="D30" l="1"/>
  <c r="I30" s="1"/>
  <c r="F34"/>
  <c r="G30"/>
  <c r="D22"/>
  <c r="I22" s="1"/>
  <c r="D14"/>
  <c r="I14" s="1"/>
  <c r="I34" l="1"/>
  <c r="J34" s="1"/>
  <c r="G22"/>
  <c r="G14"/>
  <c r="G34" l="1"/>
</calcChain>
</file>

<file path=xl/sharedStrings.xml><?xml version="1.0" encoding="utf-8"?>
<sst xmlns="http://schemas.openxmlformats.org/spreadsheetml/2006/main" count="1943" uniqueCount="372">
  <si>
    <t>Наименование муниципальной услуги ( работы)</t>
  </si>
  <si>
    <t>Нормативные затраты, непосредственно связанные с оказанием ( выполнением) муниципальной услуги (работы)</t>
  </si>
  <si>
    <t>Нормативные затраты на общехозяйственные нужды</t>
  </si>
  <si>
    <t>Итого нормативные затраты на оказание ( выполнение) муниципальной услуги (работы) (гр.4=гр.2+гр.3)</t>
  </si>
  <si>
    <t>Объем муниципальной услуги (работы)</t>
  </si>
  <si>
    <t>Затраты на содержание имущества</t>
  </si>
  <si>
    <t>Сумма финансового обеспечения выполнения муниципального задания (гр.7=(гр.4*гр.5)+гр.6</t>
  </si>
  <si>
    <t>тыс.руб. за ед.</t>
  </si>
  <si>
    <t>ед.</t>
  </si>
  <si>
    <t>тыс.руб.</t>
  </si>
  <si>
    <t>Итого очередной финансовый год</t>
  </si>
  <si>
    <t>Наименование МДОУ</t>
  </si>
  <si>
    <t>223-вода</t>
  </si>
  <si>
    <t>223-осв.</t>
  </si>
  <si>
    <t>223-газ</t>
  </si>
  <si>
    <t>прочие</t>
  </si>
  <si>
    <t>Итого</t>
  </si>
  <si>
    <t>Нормативные затраты на оказание</t>
  </si>
  <si>
    <t>ПРИЛОЖЕНИЕ №1</t>
  </si>
  <si>
    <t>Таблица №1</t>
  </si>
  <si>
    <t>муниципального образования " город Ульяновск"</t>
  </si>
  <si>
    <t xml:space="preserve">  с 12-24 ч. пребыванием, расположенных на территории</t>
  </si>
  <si>
    <t xml:space="preserve">  с 12 ч. пребыванием, расположенных на территории</t>
  </si>
  <si>
    <t>налоги</t>
  </si>
  <si>
    <t>Муниципальная услуга, тип, вид обрзовательного учеждения</t>
  </si>
  <si>
    <t>Муниципальное автономное дошкольное образовательное учреждение Центр развития ребенка - детский сад № 45 «Добринка»</t>
  </si>
  <si>
    <t>Муниципальное  бюджетное дошкольное образовательное учреждение Центр развития ребенка - детский сад № 60 "Незабудка"</t>
  </si>
  <si>
    <t>Муниципальное  бюджетное дошкольное образовательное учреждение центр развития ребенка детский сад № 62 "Ягодка"</t>
  </si>
  <si>
    <t>Муниципальное бюджетное  дошкольное образовательное учреждение "Центр развития ребёнка - детский сад №142 "Росинка"</t>
  </si>
  <si>
    <t>Муниципальное  бюджетное дошкольное образовательное учреждение центр развития ребенка - детский сад № 165 "Бемби"</t>
  </si>
  <si>
    <t>Муниципальное  бюджетное дошкольное образовательное учреждение Центр развития ребенка-детский сад № 179 "Алиса"</t>
  </si>
  <si>
    <t>Муниципальное  бюджетное дошкольное образовательное учреждение детский сад №197 "Русалочка"</t>
  </si>
  <si>
    <t>Муниципальное  бюджетное дошкольное образовательное учреждение Центр развития ребенка - детский сад № 232 "Жемчужинка"</t>
  </si>
  <si>
    <t>Муниципальное автономное дошкольное образовательное учреждение Центр развития ребёнка - детский сад №253 "Белоснежка"</t>
  </si>
  <si>
    <t>Муниципальное  бюджетное дошкольное образовательное учреждение детский сад № 72</t>
  </si>
  <si>
    <t>Муниципальное  бюджетное дошкольное образовательное учреждение Центр развития ребенка- Детский сад № 111 "Рябинушка"</t>
  </si>
  <si>
    <t>Муниципальное  бюджетное дошкольное образовательное учреждение детский сад № 144</t>
  </si>
  <si>
    <t>Муниципальное  бюджетное дошкольное образовательное учреждение детский сад № 118</t>
  </si>
  <si>
    <t>Муниципальное  бюджетное  дошкольное образовательное учреждение Детский сад №152</t>
  </si>
  <si>
    <t>Муниципальное  бюджетное дошкольное образовательное учреждение "Детский сад № 132"</t>
  </si>
  <si>
    <t>Муниципальное   бюджетное дошкольное образовательное учреждение Центр развития ребенка - детский сад № 2 "Рябинушка"</t>
  </si>
  <si>
    <t>Муниципальное бюджетное дошкольное образовательное учреждение Центр развития ребенка- детский сад № 20 "Искринка"</t>
  </si>
  <si>
    <t>Муниципальное бюджетное  дошкольное образовательное учреждение детский сад № 124 «Планета детства»</t>
  </si>
  <si>
    <t>Муниципальное  бюджетное дошкольное образовательное учреждение Центр развития ребенка - детский сад № 128 "Гусельки"</t>
  </si>
  <si>
    <t>Муниципальное  бюджетное дошкольное образовательное учреждение центр развития ребенка детский сад № 130</t>
  </si>
  <si>
    <t>Муниципальное бюджетное дошкольное образовательное учреждение детский сад № 199</t>
  </si>
  <si>
    <t>Муниципальное  бюджетное дошкольное образовательное учреждение Центр развития ребенка -детский сад № 8</t>
  </si>
  <si>
    <t>Муниципальное бюджетное  дошкольное образовательное учреждение Центр развития ребенка детский сад № 14</t>
  </si>
  <si>
    <t>Муниципальное бюджетное  дошкольное образовательное учреждение Центр развития ребёнка- детский сад №94</t>
  </si>
  <si>
    <t>Муниципальное бюджетное дошкольное образовательное учреждение детский сад № 103</t>
  </si>
  <si>
    <t>Муниципальное бюджетное дошкольное образовательное учреждение детский сад №169</t>
  </si>
  <si>
    <t>Муниципальное бюджетное дошкольное образовательное учреждение детский сад № 174 «Росинка»</t>
  </si>
  <si>
    <t>Муниципальное бюджетное дошкольное образовательное учреждение детский сад № 176</t>
  </si>
  <si>
    <t>Муниципальное бюджетное дошкольное образовательное учреждение Центр развития ребенка -детский сад № 188</t>
  </si>
  <si>
    <t>Муниципальное бюджетное дошкольное образовательное учреждение детский сад № 217 «Лесовичок»</t>
  </si>
  <si>
    <t>Муниципальное бюджетное дошкольное образовательное учреждение Центр развития ребенка -детский сад № 221</t>
  </si>
  <si>
    <t>муниципальное автономное дошкольное образовательное учреждение Центр развития ребенка -Детский сад № 223</t>
  </si>
  <si>
    <t xml:space="preserve">Муниципальное бюджетное дошкольное образовательное учреждение Центр развития ребенка - детский сад №231 </t>
  </si>
  <si>
    <t>Муниципальное бюджетное дошкольное образовательное учреждение Центр развития ребенка - детский сад № 246</t>
  </si>
  <si>
    <t>Муниципальное  бюджетное дошкольное образовательное учреждение детский сад «Ивушка»</t>
  </si>
  <si>
    <t>таблица №2</t>
  </si>
  <si>
    <t>2016 год</t>
  </si>
  <si>
    <t>2017 год</t>
  </si>
  <si>
    <t xml:space="preserve">  МДОУ с группами компенсирующей направленности </t>
  </si>
  <si>
    <t xml:space="preserve">  МДОУ с группами оздоровительной направленности </t>
  </si>
  <si>
    <t xml:space="preserve">  МДОУ с группами общеразвивающей направленности </t>
  </si>
  <si>
    <t>МДОУ №9</t>
  </si>
  <si>
    <t>МДОУ №18</t>
  </si>
  <si>
    <t>МДОУ №52</t>
  </si>
  <si>
    <t>МДОУ №60</t>
  </si>
  <si>
    <t>МДОУ №62</t>
  </si>
  <si>
    <t>МДОУ №63</t>
  </si>
  <si>
    <t>МДОУ №64</t>
  </si>
  <si>
    <t>МДОУ №72</t>
  </si>
  <si>
    <t>МДОУ №83</t>
  </si>
  <si>
    <t>МДОУ №107</t>
  </si>
  <si>
    <t>МДОУ №119</t>
  </si>
  <si>
    <t>МДОУ №125</t>
  </si>
  <si>
    <t>МДОУ №133</t>
  </si>
  <si>
    <t>МДОУ №135</t>
  </si>
  <si>
    <t>МДОУ №142</t>
  </si>
  <si>
    <t>МДОУ №143</t>
  </si>
  <si>
    <t>МДОУ №150</t>
  </si>
  <si>
    <t>МДОУ №155</t>
  </si>
  <si>
    <t>МДОУ №165</t>
  </si>
  <si>
    <t>МДОУ №168</t>
  </si>
  <si>
    <t>МДОУ №171</t>
  </si>
  <si>
    <t>МДОУ №172</t>
  </si>
  <si>
    <t>МДОУ №179</t>
  </si>
  <si>
    <t>МДОУ №197</t>
  </si>
  <si>
    <t>МДОУ №224</t>
  </si>
  <si>
    <t>МДОУ №225</t>
  </si>
  <si>
    <t>МДОУ №232</t>
  </si>
  <si>
    <t>МДОУ №233</t>
  </si>
  <si>
    <t>МДОУ №242</t>
  </si>
  <si>
    <t>МДОУ №1</t>
  </si>
  <si>
    <t>МДОУ "Сказка"</t>
  </si>
  <si>
    <t>МДОУ №46</t>
  </si>
  <si>
    <t>МДОУ №78</t>
  </si>
  <si>
    <t>МДОУ №111</t>
  </si>
  <si>
    <t>МДОУ №112</t>
  </si>
  <si>
    <t>МДОУ №118</t>
  </si>
  <si>
    <t>МДОУ №132</t>
  </si>
  <si>
    <t>МДОУ №144</t>
  </si>
  <si>
    <t>МДОУ №151</t>
  </si>
  <si>
    <t>МДОУ №152</t>
  </si>
  <si>
    <t>МДОУ №156</t>
  </si>
  <si>
    <t>МДОУ №157</t>
  </si>
  <si>
    <t>МДОУ №166</t>
  </si>
  <si>
    <t>МДОУ №184</t>
  </si>
  <si>
    <t>МДОУ №211</t>
  </si>
  <si>
    <t>МДОУ №215</t>
  </si>
  <si>
    <t>МДОУ №216</t>
  </si>
  <si>
    <t>МДОУ " Ивушка"</t>
  </si>
  <si>
    <t>МДОУ " Кристаллик"</t>
  </si>
  <si>
    <t>МДОУ №2</t>
  </si>
  <si>
    <t>МДОУ №13</t>
  </si>
  <si>
    <t>МДОУ №15</t>
  </si>
  <si>
    <t>МДОУ №17</t>
  </si>
  <si>
    <t>МДОУ №20</t>
  </si>
  <si>
    <t>МДОУ №58</t>
  </si>
  <si>
    <t>МДОУ №65</t>
  </si>
  <si>
    <t>МДОУ №105</t>
  </si>
  <si>
    <t>МДОУ №124</t>
  </si>
  <si>
    <t>МДОУ №128</t>
  </si>
  <si>
    <t>МДОУ №130</t>
  </si>
  <si>
    <t>МДОУ №136</t>
  </si>
  <si>
    <t>МДОУ №141</t>
  </si>
  <si>
    <t>МДОУ №199</t>
  </si>
  <si>
    <t>МДОУ №7</t>
  </si>
  <si>
    <t>МДОУ №8</t>
  </si>
  <si>
    <t>МДОУ №14</t>
  </si>
  <si>
    <t>МДОУ №31</t>
  </si>
  <si>
    <t>МДОУ №54</t>
  </si>
  <si>
    <t>МДОУ №103</t>
  </si>
  <si>
    <t>МДОУ №110</t>
  </si>
  <si>
    <t>МДОУ №162</t>
  </si>
  <si>
    <t>МДОУ №169</t>
  </si>
  <si>
    <t>МДОУ №170</t>
  </si>
  <si>
    <t>МДОУ №174</t>
  </si>
  <si>
    <t>МДОУ №175</t>
  </si>
  <si>
    <t>МДОУ №176</t>
  </si>
  <si>
    <t>МДОУ №183</t>
  </si>
  <si>
    <t>МДОУ №188</t>
  </si>
  <si>
    <t>МДОУ №190</t>
  </si>
  <si>
    <t>МДОУ №207</t>
  </si>
  <si>
    <t>МДОУ №217</t>
  </si>
  <si>
    <t>МДОУ №218</t>
  </si>
  <si>
    <t>МДОУ №221</t>
  </si>
  <si>
    <t>МДОУ №222</t>
  </si>
  <si>
    <t>МДОУ №229</t>
  </si>
  <si>
    <t>МДОУ №231</t>
  </si>
  <si>
    <t>МДОУ №244</t>
  </si>
  <si>
    <t>МДОУ №246</t>
  </si>
  <si>
    <t>МАДОУ №45</t>
  </si>
  <si>
    <t>МАДОУ №90</t>
  </si>
  <si>
    <t>МАДОУ №178</t>
  </si>
  <si>
    <t>МАДОУ №253</t>
  </si>
  <si>
    <t>МАДОУ №43</t>
  </si>
  <si>
    <t>МАДОУ №257</t>
  </si>
  <si>
    <t>МАДОУ №33</t>
  </si>
  <si>
    <t>МАДОУ №258</t>
  </si>
  <si>
    <t>МАДОУ № 223</t>
  </si>
  <si>
    <t>Муниципальное  бюджетное дошкольное образовательное учреждение детский сад № 159</t>
  </si>
  <si>
    <t>Муниципальное  бюджетное дошкольное образовательное учреждение детский сад  № 16 «Колобок»</t>
  </si>
  <si>
    <t>Муниципальное  бюджетное дошкольное образовательное учреждение детский сад  № 75 «Солнышко»</t>
  </si>
  <si>
    <t>Муниципальное  бюджетное дошкольное образовательное учреждение детский сад  №91 «Снегурочка»</t>
  </si>
  <si>
    <t>Муниципальное бюджетное  дошкольное образовательное учреждение детский сад  №101</t>
  </si>
  <si>
    <t>Муниципальное  бюджетное дошкольное образовательное учреждение детский сад  №139 «Яблонька»</t>
  </si>
  <si>
    <t>Муниципальное  бюджетное дошкольное образовательное учреждение детский сад  № 84 «Ежик»</t>
  </si>
  <si>
    <t>Муниципальное  бюджетное дошкольное образовательное учреждение детский сад  № 173 «Лучик»</t>
  </si>
  <si>
    <t>Муниципальное  бюджетное дошкольное образовательное учреждение детский сад  № 106</t>
  </si>
  <si>
    <t>Муниципальное  бюджетное дошкольное образовательное учреждение детский сад  № 148</t>
  </si>
  <si>
    <t>Муниципальное бюджетное  дошкольное образовательное учреждение детский сад  № 85 «Гвоздика»</t>
  </si>
  <si>
    <t>Муниципальное бюджетное дошкольное образовательное учреждение детский сад  №40</t>
  </si>
  <si>
    <t>муниципальное  бюджетное дошкольное образовательное учреждение  детский сад  № 115</t>
  </si>
  <si>
    <t>Муниципальное бюджетное  дошкольное образовательное учреждение детский сад  № 167 «Ладушки»</t>
  </si>
  <si>
    <t>Муниципальное  бюджетное дошкольное образовательное учреждение детский сад  № 214</t>
  </si>
  <si>
    <t>Муниципальное бюджетное дошкольное образовательное учреждение детский сад  № 210</t>
  </si>
  <si>
    <t>Муниципальное бюджетное дошкольное образовательное учреждение детский сад  № 50 «Северянка»</t>
  </si>
  <si>
    <t>Муниципальное бюджетное дошкольное образовательное учреждение детский сад  № 16 «Карасик»</t>
  </si>
  <si>
    <t>Муниципальное  бюджетное дошкольное образовательное учреждение детский сад  № 123 «Радужка»</t>
  </si>
  <si>
    <t>Муниципальное  бюджетное дошкольное образовательное учреждение детский сад  № 153</t>
  </si>
  <si>
    <t>Муниципальное  бюджетное дошкольное образовательное учреждение детский сад  № 235</t>
  </si>
  <si>
    <t>Муниципальное  автономное дошкольное образовательное учреждение детский сад №186» Волгарик»</t>
  </si>
  <si>
    <t>Муниципальное бюджетное дошкольное образовательное учреждение детский сад   № 209</t>
  </si>
  <si>
    <t>Муниципальное бюджетное дошкольное образовательное учреждение детский сад  № 9 "Земляничная поляна"</t>
  </si>
  <si>
    <t>Муниципальное  бюджетное дошкольное образовательное учреждение детский сад  №18 "Аленушка"</t>
  </si>
  <si>
    <t>Муниципальное  бюджетное дошкольное образовательное учреждение детский сад  № 52</t>
  </si>
  <si>
    <t>Муниципальное бюджетное дошкольное образовательное учреждение детский сад  № 63 "Буратино"</t>
  </si>
  <si>
    <t>Муниципальное  бюджетное дошкольное образовательное учреждение детский сад  № 64 "Золотой ключик"</t>
  </si>
  <si>
    <t>Муниципальное  автономное дошкольное образовательное учреждение детский сад  № 90 "Медвежонок"</t>
  </si>
  <si>
    <t>Муниципальное бюджетное  дошкольное образовательное учреждение Детский сад  № 107 "Светлячок"</t>
  </si>
  <si>
    <t>Муниципальное  бюджетное дошкольное образовательное учреждение детский сад  № 119</t>
  </si>
  <si>
    <t>Муниципальное  бюджетное дошкольное образовательное учреждение детский сад  №125 "Рябинка"</t>
  </si>
  <si>
    <t>Муниципальное  бюджетное дошкольное образовательное учреждение детский сад  № 133 "Рябинка"</t>
  </si>
  <si>
    <t>Муниципальное  бюджетное дошкольное образовательное учреждение детский сад  № 135</t>
  </si>
  <si>
    <t>Муниципальное бюджетное дошкольное образовательное учреждение детский сад  № 143</t>
  </si>
  <si>
    <t>Муниципальное  бюджетное дошкольное образовательное учреждение детский сад  № 150 "Чебурашка"</t>
  </si>
  <si>
    <t>Муниципальное  бюджетное дошкольное образовательное учреждение детский сад  № 155 "Жар-птица"</t>
  </si>
  <si>
    <t>Муниципальное  бюджетное дошкольное образовательное учреждение детский сад  № 168</t>
  </si>
  <si>
    <t>Муниципальное  бюджетное дошкольное образовательное учреждение детский сад  № 171 "Изюминка"</t>
  </si>
  <si>
    <t>Муниципальное  бюджетное дошкольное образовательное учреждение детский сад  № 172 "Голубка"</t>
  </si>
  <si>
    <t>Муниципальное автономное  дошкольное образовательное учреждение Центр развития ребенка - детский сад № 178 "Облачко"</t>
  </si>
  <si>
    <t>Муниципальное  бюджетное дошкольное образовательное учреждение детский сад  № 224 "Семицветик"</t>
  </si>
  <si>
    <t xml:space="preserve">Муниципальное  бюджетное дошкольное образовательное учреждение детский сад  №225                                                                                                        </t>
  </si>
  <si>
    <t>Муниципальное бюджетное  дошкольное образовательное учреждение Детский сад  № 233 "Берёзка"</t>
  </si>
  <si>
    <t>Муниципальное  бюджетное дошкольное образовательное учреждение Центр развития  ребенка -детский сад № 242 "Садко"</t>
  </si>
  <si>
    <t>Муниципальное  автономное  дошкольное образовательное учреждение детский сад  № 43</t>
  </si>
  <si>
    <t>Муниципальное  бюджетное дошкольное образовательное учреждение детский сад  № 46</t>
  </si>
  <si>
    <t>Муниципальное  бюджетное дошкольное образовательное учреждение детский сад  № 78 "Малыш"</t>
  </si>
  <si>
    <t>муниципальное  бюджетное дошкольное образовательное учреждение Центр развития  ребенка -детский сад №112 "Град чудес"</t>
  </si>
  <si>
    <t>Муниципальное  бюджетное дошкольное образовательное учреждение детский сад  № 151</t>
  </si>
  <si>
    <t>Муниципальное  бюджетное дошкольное образовательное учреждение детский сад  № 156 "Волжаночка"</t>
  </si>
  <si>
    <t>Муниципальное  бюджетное дошкольное образовательное учреждение детский сад  № 157 "Аленушка"</t>
  </si>
  <si>
    <t>Муниципальное  бюджетное дошкольное образовательное учреждение детский сад  № 166 "Росинка"</t>
  </si>
  <si>
    <t>Муниципальное  бюджетное дошкольное образовательное учреждение детский сад  № 184 "Петушок"</t>
  </si>
  <si>
    <t>Муниципальное бюджетное  дошкольное образовательное учреждение детский сад  №211 "Аистенок"</t>
  </si>
  <si>
    <t>Муниципальное  бюджетное дошкольное образовательное учреждение Центр развития  ребенка -детский сад №215 "Колосок"</t>
  </si>
  <si>
    <t>Муниципальное  бюджетное дошкольное образовательное учреждение  детский сад общеразвивающего вида №216</t>
  </si>
  <si>
    <t>Муниципальное  автономное дошкольное образовательное учреждение детский сад  №257» Самоцветы»</t>
  </si>
  <si>
    <t>Муниципальное  бюджетное дошкольное образовательное учреждение детский сад № 6</t>
  </si>
  <si>
    <t>Муниципальное  бюджетное  дошкольное образовательное учреждение "Детский сад № 13"</t>
  </si>
  <si>
    <t>Муниципальное  бюджетное дошкольное образовательное учреждение детский сад  № 15 "Огонек"</t>
  </si>
  <si>
    <t>Муниципальное   бюджетное дошкольное образовательное учреждение детский сад  №17</t>
  </si>
  <si>
    <t>Муниципальное автономное  дошкольное образовательное учреждение детский сад  № 33 "Малинка"</t>
  </si>
  <si>
    <t>Муниципальное бюджетное  дошкольное образовательное учреждение детский сад  №58 "Снежок"</t>
  </si>
  <si>
    <t>Муниципальное бюджетное  дошкольное образовательное учреждение детский сад  № 105 "Золушка"</t>
  </si>
  <si>
    <t>Муниципальное бюджетное  дошкольное образовательное учреждение детский сад  № 136 "Полянка"</t>
  </si>
  <si>
    <t>Муниципальное  бюджетное дошкольное образовательное учреждение детский сад  №141 "Искорка"</t>
  </si>
  <si>
    <t>Муниципальное бюджетное дошкольное образовательное учреждение детский сад   №7</t>
  </si>
  <si>
    <t>Муниципальное бюджетное дошкольное образовательное учреждение детский сад  № 31</t>
  </si>
  <si>
    <t>Муниципальное бюджетное дошкольное образовательное учреждение детский сад  № 54</t>
  </si>
  <si>
    <t>Муниципальное бюджетное дошкольное образовательное учреждение детский сад  № 110 "Мальвина"</t>
  </si>
  <si>
    <t>Муниципальное бюджетное дошкольное образовательное учреждение детский сад  № 162 "Сказка"</t>
  </si>
  <si>
    <t>Муниципальное бюджетное дошкольное образовательное учреждение детский сад  № 175</t>
  </si>
  <si>
    <t>Муниципальное бюджетное дошкольное образовательное учреждение детский сад  №183</t>
  </si>
  <si>
    <t>Муниципальное бюджетное дошкольное образовательное учреждение детский сад  № 190 "Родничок"</t>
  </si>
  <si>
    <t>Муниципальное бюджетное дошкольное образовательное учреждение детский сад  №207</t>
  </si>
  <si>
    <t>Муниципальное бюджетное дошкольное образовательное учреждение детский сад  №218</t>
  </si>
  <si>
    <t>Муниципальное бюджетное дошкольное образовательное учреждение детский сад  № 222</t>
  </si>
  <si>
    <t>Муниципальное бюджетное дошкольное образовательное учреждение детский сад  № 229</t>
  </si>
  <si>
    <t>Муниципальное бюджетное дошкольное образовательное учреждение детский сад  № 244</t>
  </si>
  <si>
    <t>Муниципальное автономное дошкольное образовательное учреждение детский сад № 258</t>
  </si>
  <si>
    <t>Муниципальное  бюджетное дошкольное образовательное учреждение детский сад  № 80 «Аист»</t>
  </si>
  <si>
    <t>Муниципальное  бюджетное дошкольное образовательное учреждение детский сад «Кристаллик»</t>
  </si>
  <si>
    <t xml:space="preserve">Муниципальное  бюджетное дошкольное образовательное учреждение детский сад  «Сказка» </t>
  </si>
  <si>
    <t>Муниципальное бюджетное дошкольное образовательное учреждение детский сад  № 104 «Гуси-лебеди»</t>
  </si>
  <si>
    <t>муниципальное  бюджетное дошкольное образовательное учреждение  детский сад  № 201</t>
  </si>
  <si>
    <t>Муниципальное  бюджетное дошкольное образовательное учреждение детский сад  №226 «Капитошка»</t>
  </si>
  <si>
    <t>Муниципальное  бюджетное дошкольное образовательное учреждение детский сад  № 185</t>
  </si>
  <si>
    <t>Муниципальное  бюджетное дошкольное образовательное учреждение детский сад  № 83</t>
  </si>
  <si>
    <t>Муниципальное бюджетное дошкольное образовательное учреждение детский сад  №194</t>
  </si>
  <si>
    <t>Муниципальное  бюджетное дошкольное образовательное учреждение детский сад  №55</t>
  </si>
  <si>
    <t>Муниципальное  бюджетное дошкольное образовательное учреждение детский сад  №65</t>
  </si>
  <si>
    <t>Муниципальное  бюджетное дошкольное образовательное учреждение детский сад  №170</t>
  </si>
  <si>
    <t>Нормативные затраты, непосредственно связанные с оказанием (выполнением) муниципальной услуги (работы)</t>
  </si>
  <si>
    <t>Итого нормативные затраты на оказание (выполнение) муниципальной услуги (работы) (гр.4=гр.2+гр.3)</t>
  </si>
  <si>
    <t>Муниципальное  бюджетное дошкольное образовательное учреждение детский сад  №1 «Олимпик»</t>
  </si>
  <si>
    <t>№ п/п</t>
  </si>
  <si>
    <t>Всего дети</t>
  </si>
  <si>
    <t>питание</t>
  </si>
  <si>
    <t>Итого общехоз.</t>
  </si>
  <si>
    <t>ВСЕГО</t>
  </si>
  <si>
    <t>компенсирующие</t>
  </si>
  <si>
    <t>общеразвиавающие</t>
  </si>
  <si>
    <t>МДОУ №100</t>
  </si>
  <si>
    <t>223-отопление</t>
  </si>
  <si>
    <t>16 колобок</t>
  </si>
  <si>
    <t>жбо</t>
  </si>
  <si>
    <t>Образовательная программа дошкольного образования в группах общеразвивающей направленности</t>
  </si>
  <si>
    <t>Адаптированная образовательная программа дошкольного образования в группах компенсирующей направленности</t>
  </si>
  <si>
    <t>Образовательная программа дошкольного образования в группах оздоровительной направленности</t>
  </si>
  <si>
    <t>2017год</t>
  </si>
  <si>
    <t>2018год</t>
  </si>
  <si>
    <t>Итого плановый период 2017  год</t>
  </si>
  <si>
    <t>Итого плановый период 2018 год</t>
  </si>
  <si>
    <t>Реализация основных общеобразовательных программ дошкольного образования</t>
  </si>
  <si>
    <t>2018 год</t>
  </si>
  <si>
    <t xml:space="preserve">Корректирующие коэффициенты к нормативам затрат на оказание дошкольными образовательными учреждениями муниципального образования "город Ульяновск" муниципальных услуг на 2016 год и плановый период 2017 и 2018 годов.     </t>
  </si>
  <si>
    <t>Образовательная программа дошкольного образования в группах общеразвивающей направленности с 12-часовым и круглосуточным прибыванием</t>
  </si>
  <si>
    <t>Муниципальное бюджетное дошкольное образовательное учреждение детский сад  № 100 "Летучий корабль"</t>
  </si>
  <si>
    <t>и нормативных затрат на содержание имущества муниципальных учреждений муниципального образования "город</t>
  </si>
  <si>
    <t xml:space="preserve">муниципальными учреждениями муниципального образования " город Ульяновск" муниципальных услуг </t>
  </si>
  <si>
    <t>Ульяновск" на 2016 год и на плановый период 2017 и 2018 годов.</t>
  </si>
  <si>
    <t>Муниципальное  автономное дошкольное образовательное учреждение детский сад №186  "Волгарик"</t>
  </si>
  <si>
    <t>Образовательная программа дошкольного образования в группах оздоровительной направленности с 12-часовым  прибыванием</t>
  </si>
  <si>
    <t>Адаптированная образовательная программа дошкольного образования в группах компенсирующей  направленности с 12-часовым  и круглосуточным прибыванием</t>
  </si>
  <si>
    <t>Приложение № 2</t>
  </si>
  <si>
    <t>с 12-часовым и круглосуточным пребыванием</t>
  </si>
  <si>
    <t>с 12-часовым пребыванием</t>
  </si>
  <si>
    <t>Запад</t>
  </si>
  <si>
    <t>Содерж. имущества</t>
  </si>
  <si>
    <t>всего</t>
  </si>
  <si>
    <t>коэффициент на 2017 год</t>
  </si>
  <si>
    <t>коэффициент на 2018 год</t>
  </si>
  <si>
    <t>Итого затраты на общехоз.нужды</t>
  </si>
  <si>
    <t>Затраты на коммунальные услуги</t>
  </si>
  <si>
    <t xml:space="preserve">Сумма затрат на содерж. недижимого имущества </t>
  </si>
  <si>
    <t xml:space="preserve">и затраты на уплату налогов </t>
  </si>
  <si>
    <t xml:space="preserve"> на 2017 год и на плановый период 2018 и 2019годов.</t>
  </si>
  <si>
    <t xml:space="preserve">Базовый норматив затрат, непосредственно связанных с оказанием  муниципальной услуги </t>
  </si>
  <si>
    <t>Базовый норматив затрат на общехозяйственные нужды на оккакзание муниципальной услуги</t>
  </si>
  <si>
    <t>Итого базовый норматив  затрат на оказание  муниципальной услуги  (гр.4=гр.2+гр.3)</t>
  </si>
  <si>
    <t xml:space="preserve">Объем муниципальной услуги </t>
  </si>
  <si>
    <t>Затраты на уплату налогов</t>
  </si>
  <si>
    <t>Сумма финансового обеспечения выполнения муниципального задания (гр.8=(гр.4*гр.6)+гр.7</t>
  </si>
  <si>
    <t>Базовый норматив на оказание муниципальной услуги</t>
  </si>
  <si>
    <t>в том числе норматив затрат на коммунальные услуги и содержание недвижимого имущества, необходимого для выполнения муниципального задания</t>
  </si>
  <si>
    <t>в том числе норматив затрат на коммунальные услуги и содерж.недвиж. имущ-ва</t>
  </si>
  <si>
    <t>Налоги</t>
  </si>
  <si>
    <t>план по прогнозу</t>
  </si>
  <si>
    <t>Всего сумма затрат на коммунальные услуги и содержание недвижимого имущества</t>
  </si>
  <si>
    <t>корректирующий коэффициент на 2017 год к нормативу 20,585</t>
  </si>
  <si>
    <t>2019год</t>
  </si>
  <si>
    <t>Реализация основных обшеобразовательных программ дошкольного образования</t>
  </si>
  <si>
    <t>очередной финансовый год</t>
  </si>
  <si>
    <t>1-ый год планового периода</t>
  </si>
  <si>
    <t>2-ой год планового периода</t>
  </si>
  <si>
    <t xml:space="preserve">Корректирующие коэффициенты к базовым нормативам затрат на оказание дошкольными образовательными учреждениями муниципального образования "город Ульяновск" муниципальных услуг на 2017 год и плановый период 2018 и 2019 годов.     </t>
  </si>
  <si>
    <t>Итого базовый норматив  затрат на оказание  муниципальной услуги  (гр.7=гр.5+гр.6)</t>
  </si>
  <si>
    <t>Итого базовый норматив  затрат на оказание  муниципальной услуги  (гр.10=гр.8+гр.9)</t>
  </si>
  <si>
    <t>2019 год</t>
  </si>
  <si>
    <t>Муниципальная услуга</t>
  </si>
  <si>
    <t>Закиреева Л.А.</t>
  </si>
  <si>
    <t>350-400</t>
  </si>
  <si>
    <t>300-350</t>
  </si>
  <si>
    <t>500-400</t>
  </si>
  <si>
    <t>250-300</t>
  </si>
  <si>
    <t>200-250</t>
  </si>
  <si>
    <t>150-200</t>
  </si>
  <si>
    <t>100-150</t>
  </si>
  <si>
    <t>51-100</t>
  </si>
  <si>
    <t>все комп.</t>
  </si>
  <si>
    <t>1,292-2,395</t>
  </si>
  <si>
    <t>0,81-1,115</t>
  </si>
  <si>
    <t>0,718-0,952-1,042</t>
  </si>
  <si>
    <t>0,702-0,882</t>
  </si>
  <si>
    <t>0,834-0,845</t>
  </si>
  <si>
    <t>0,646-0,916</t>
  </si>
  <si>
    <t>ИТОГО</t>
  </si>
  <si>
    <t>МДОУ</t>
  </si>
  <si>
    <t>МДОУ с группами для детей с ОВЗ</t>
  </si>
  <si>
    <t>МДОУ, имеющие бассейн</t>
  </si>
  <si>
    <t>МДОУ, имеющие 2 корпуса</t>
  </si>
  <si>
    <t>Итого МДОУ</t>
  </si>
  <si>
    <t>коммун</t>
  </si>
  <si>
    <t>содерж. Имущ-ва</t>
  </si>
  <si>
    <t>Сумма затрат на содерж. недижимого имущества (225 ст.)</t>
  </si>
  <si>
    <t>Наименование муниципальной услуги</t>
  </si>
  <si>
    <t xml:space="preserve">муниципальными бюджетными дошкольными образовательными учреждениями и муниципальными автономными дошкольными образовательными уцчреждениями </t>
  </si>
  <si>
    <t>муниципального образования  "город Ульяновск" на 2017 год и на плановый период 2018 и 2019 годов.</t>
  </si>
  <si>
    <t>Единица измерения</t>
  </si>
  <si>
    <t>Количество потребителей муниципальной услуги</t>
  </si>
  <si>
    <t xml:space="preserve">Значение базового норматива затрат </t>
  </si>
  <si>
    <t>в том числе</t>
  </si>
  <si>
    <t xml:space="preserve">Итого базовый норматив затрат на оказание муниципальной услуги </t>
  </si>
  <si>
    <t xml:space="preserve">Затраты на уплату налогов </t>
  </si>
  <si>
    <t xml:space="preserve">Сумма финансового обеспечения выполнения муниципального задания </t>
  </si>
  <si>
    <t xml:space="preserve">базовый норматив затрат, непосредственно связанных с оказанием  муниципальной услуги </t>
  </si>
  <si>
    <t>базовый норматив затрат на общехозяйственные нужды</t>
  </si>
  <si>
    <t>итого</t>
  </si>
  <si>
    <t>тыс.руб. на одного воспитанника в год</t>
  </si>
  <si>
    <t xml:space="preserve">Итого </t>
  </si>
  <si>
    <t>1-ый год плановог периода</t>
  </si>
  <si>
    <t>2 - ой год планового периода</t>
  </si>
  <si>
    <t xml:space="preserve">из них </t>
  </si>
  <si>
    <t>из них</t>
  </si>
  <si>
    <t>оплата труда с начислениями</t>
  </si>
  <si>
    <t>коммунальные услуги и содержание недвижимого имущества</t>
  </si>
  <si>
    <t xml:space="preserve">Значения нормативных затрат на оказание муниципальных услуг </t>
  </si>
  <si>
    <t>Приложение № 1</t>
  </si>
</sst>
</file>

<file path=xl/styles.xml><?xml version="1.0" encoding="utf-8"?>
<styleSheet xmlns="http://schemas.openxmlformats.org/spreadsheetml/2006/main">
  <numFmts count="6">
    <numFmt numFmtId="164" formatCode="0.0"/>
    <numFmt numFmtId="165" formatCode="0.000"/>
    <numFmt numFmtId="166" formatCode="#,##0.0"/>
    <numFmt numFmtId="167" formatCode="0.0000"/>
    <numFmt numFmtId="168" formatCode="0.000000"/>
    <numFmt numFmtId="169" formatCode="#,##0.000"/>
  </numFmts>
  <fonts count="16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sz val="12"/>
      <color rgb="FF00000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1"/>
      <color indexed="8"/>
      <name val="Times New Roman"/>
      <family val="1"/>
      <charset val="204"/>
    </font>
    <font>
      <b/>
      <i/>
      <u/>
      <sz val="9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b/>
      <i/>
      <sz val="12"/>
      <color theme="1"/>
      <name val="Times New Roman"/>
      <family val="1"/>
      <charset val="204"/>
    </font>
    <font>
      <b/>
      <sz val="9"/>
      <color theme="1"/>
      <name val="Times New Roman"/>
      <family val="1"/>
      <charset val="204"/>
    </font>
    <font>
      <b/>
      <i/>
      <sz val="11"/>
      <color rgb="FF7030A0"/>
      <name val="Times New Roman"/>
      <family val="1"/>
      <charset val="204"/>
    </font>
    <font>
      <b/>
      <i/>
      <sz val="11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i/>
      <sz val="11"/>
      <color theme="1"/>
      <name val="Times New Roman"/>
      <family val="1"/>
      <charset val="204"/>
    </font>
  </fonts>
  <fills count="1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00B0F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1">
    <xf numFmtId="0" fontId="0" fillId="0" borderId="0" xfId="0"/>
    <xf numFmtId="0" fontId="0" fillId="0" borderId="1" xfId="0" applyBorder="1"/>
    <xf numFmtId="0" fontId="0" fillId="0" borderId="1" xfId="0" applyBorder="1" applyAlignment="1">
      <alignment horizontal="center"/>
    </xf>
    <xf numFmtId="164" fontId="0" fillId="0" borderId="1" xfId="0" applyNumberFormat="1" applyBorder="1" applyAlignment="1">
      <alignment horizontal="center"/>
    </xf>
    <xf numFmtId="0" fontId="1" fillId="0" borderId="1" xfId="0" applyFont="1" applyBorder="1" applyAlignment="1">
      <alignment horizontal="justify" vertical="center" wrapText="1"/>
    </xf>
    <xf numFmtId="0" fontId="1" fillId="0" borderId="1" xfId="0" applyFont="1" applyBorder="1" applyAlignment="1">
      <alignment horizontal="justify" vertical="justify" wrapText="1"/>
    </xf>
    <xf numFmtId="0" fontId="3" fillId="0" borderId="1" xfId="0" applyFont="1" applyBorder="1"/>
    <xf numFmtId="0" fontId="1" fillId="0" borderId="1" xfId="0" applyFont="1" applyBorder="1"/>
    <xf numFmtId="0" fontId="1" fillId="0" borderId="1" xfId="0" applyFont="1" applyBorder="1" applyAlignment="1">
      <alignment horizontal="center" vertical="center" wrapText="1"/>
    </xf>
    <xf numFmtId="164" fontId="0" fillId="0" borderId="1" xfId="0" applyNumberFormat="1" applyBorder="1"/>
    <xf numFmtId="0" fontId="0" fillId="0" borderId="0" xfId="0" applyBorder="1"/>
    <xf numFmtId="0" fontId="0" fillId="0" borderId="0" xfId="0" applyFill="1" applyBorder="1"/>
    <xf numFmtId="0" fontId="3" fillId="0" borderId="0" xfId="0" applyFont="1" applyFill="1" applyBorder="1"/>
    <xf numFmtId="0" fontId="2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1" fillId="0" borderId="0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justify" vertical="center" wrapText="1"/>
    </xf>
    <xf numFmtId="0" fontId="1" fillId="0" borderId="0" xfId="0" applyFont="1" applyBorder="1" applyAlignment="1">
      <alignment horizontal="justify" vertical="justify" wrapText="1"/>
    </xf>
    <xf numFmtId="0" fontId="1" fillId="0" borderId="0" xfId="0" applyFont="1" applyBorder="1"/>
    <xf numFmtId="164" fontId="0" fillId="0" borderId="0" xfId="0" applyNumberFormat="1"/>
    <xf numFmtId="0" fontId="6" fillId="0" borderId="0" xfId="0" applyFont="1" applyFill="1" applyBorder="1"/>
    <xf numFmtId="0" fontId="1" fillId="0" borderId="1" xfId="0" applyFont="1" applyBorder="1" applyAlignment="1">
      <alignment horizontal="center"/>
    </xf>
    <xf numFmtId="164" fontId="1" fillId="0" borderId="1" xfId="0" applyNumberFormat="1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165" fontId="1" fillId="0" borderId="1" xfId="0" applyNumberFormat="1" applyFont="1" applyBorder="1" applyAlignment="1">
      <alignment horizontal="center"/>
    </xf>
    <xf numFmtId="0" fontId="1" fillId="0" borderId="0" xfId="0" applyFont="1"/>
    <xf numFmtId="0" fontId="1" fillId="0" borderId="1" xfId="0" applyFont="1" applyFill="1" applyBorder="1" applyAlignment="1">
      <alignment horizontal="center"/>
    </xf>
    <xf numFmtId="164" fontId="1" fillId="0" borderId="1" xfId="0" applyNumberFormat="1" applyFont="1" applyFill="1" applyBorder="1" applyAlignment="1">
      <alignment horizontal="center"/>
    </xf>
    <xf numFmtId="0" fontId="1" fillId="0" borderId="7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justify" wrapText="1"/>
    </xf>
    <xf numFmtId="0" fontId="3" fillId="0" borderId="2" xfId="0" applyFont="1" applyBorder="1"/>
    <xf numFmtId="0" fontId="0" fillId="0" borderId="3" xfId="0" applyBorder="1"/>
    <xf numFmtId="0" fontId="0" fillId="0" borderId="4" xfId="0" applyBorder="1"/>
    <xf numFmtId="0" fontId="1" fillId="0" borderId="7" xfId="0" applyFont="1" applyBorder="1" applyAlignment="1">
      <alignment horizontal="center"/>
    </xf>
    <xf numFmtId="164" fontId="1" fillId="4" borderId="11" xfId="0" applyNumberFormat="1" applyFont="1" applyFill="1" applyBorder="1" applyAlignment="1">
      <alignment horizontal="center"/>
    </xf>
    <xf numFmtId="0" fontId="3" fillId="4" borderId="10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165" fontId="1" fillId="0" borderId="1" xfId="0" applyNumberFormat="1" applyFont="1" applyFill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165" fontId="1" fillId="0" borderId="1" xfId="0" applyNumberFormat="1" applyFont="1" applyBorder="1"/>
    <xf numFmtId="164" fontId="0" fillId="0" borderId="0" xfId="0" applyNumberFormat="1" applyFill="1"/>
    <xf numFmtId="0" fontId="0" fillId="0" borderId="0" xfId="0" applyFill="1"/>
    <xf numFmtId="166" fontId="1" fillId="0" borderId="1" xfId="0" applyNumberFormat="1" applyFont="1" applyBorder="1"/>
    <xf numFmtId="0" fontId="3" fillId="0" borderId="1" xfId="0" applyFont="1" applyBorder="1" applyAlignment="1">
      <alignment horizontal="center" vertical="center"/>
    </xf>
    <xf numFmtId="166" fontId="1" fillId="9" borderId="1" xfId="0" applyNumberFormat="1" applyFont="1" applyFill="1" applyBorder="1"/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3" xfId="0" applyBorder="1" applyAlignment="1">
      <alignment horizontal="center"/>
    </xf>
    <xf numFmtId="166" fontId="7" fillId="0" borderId="1" xfId="0" applyNumberFormat="1" applyFont="1" applyBorder="1"/>
    <xf numFmtId="166" fontId="7" fillId="9" borderId="1" xfId="0" applyNumberFormat="1" applyFont="1" applyFill="1" applyBorder="1"/>
    <xf numFmtId="0" fontId="3" fillId="0" borderId="10" xfId="0" applyFont="1" applyFill="1" applyBorder="1" applyAlignment="1">
      <alignment horizontal="center"/>
    </xf>
    <xf numFmtId="164" fontId="1" fillId="0" borderId="12" xfId="0" applyNumberFormat="1" applyFont="1" applyFill="1" applyBorder="1" applyAlignment="1">
      <alignment horizontal="center"/>
    </xf>
    <xf numFmtId="0" fontId="4" fillId="0" borderId="2" xfId="0" applyFont="1" applyFill="1" applyBorder="1" applyAlignment="1"/>
    <xf numFmtId="0" fontId="3" fillId="0" borderId="0" xfId="0" applyFont="1" applyBorder="1" applyAlignment="1">
      <alignment wrapText="1"/>
    </xf>
    <xf numFmtId="164" fontId="1" fillId="0" borderId="0" xfId="0" applyNumberFormat="1" applyFont="1" applyFill="1" applyBorder="1" applyAlignment="1">
      <alignment horizontal="center"/>
    </xf>
    <xf numFmtId="165" fontId="0" fillId="0" borderId="1" xfId="0" applyNumberFormat="1" applyBorder="1"/>
    <xf numFmtId="165" fontId="1" fillId="0" borderId="1" xfId="0" applyNumberFormat="1" applyFont="1" applyFill="1" applyBorder="1"/>
    <xf numFmtId="165" fontId="1" fillId="0" borderId="5" xfId="0" applyNumberFormat="1" applyFont="1" applyFill="1" applyBorder="1"/>
    <xf numFmtId="0" fontId="0" fillId="0" borderId="7" xfId="0" applyBorder="1" applyAlignment="1">
      <alignment horizontal="center"/>
    </xf>
    <xf numFmtId="166" fontId="1" fillId="0" borderId="1" xfId="0" applyNumberFormat="1" applyFont="1" applyFill="1" applyBorder="1"/>
    <xf numFmtId="166" fontId="2" fillId="0" borderId="1" xfId="0" applyNumberFormat="1" applyFont="1" applyBorder="1"/>
    <xf numFmtId="0" fontId="2" fillId="0" borderId="1" xfId="0" applyFont="1" applyBorder="1"/>
    <xf numFmtId="166" fontId="2" fillId="9" borderId="1" xfId="0" applyNumberFormat="1" applyFont="1" applyFill="1" applyBorder="1"/>
    <xf numFmtId="0" fontId="2" fillId="9" borderId="1" xfId="0" applyFont="1" applyFill="1" applyBorder="1"/>
    <xf numFmtId="164" fontId="2" fillId="0" borderId="1" xfId="0" applyNumberFormat="1" applyFont="1" applyBorder="1"/>
    <xf numFmtId="164" fontId="2" fillId="9" borderId="1" xfId="0" applyNumberFormat="1" applyFont="1" applyFill="1" applyBorder="1"/>
    <xf numFmtId="0" fontId="6" fillId="0" borderId="1" xfId="0" applyFont="1" applyBorder="1"/>
    <xf numFmtId="0" fontId="6" fillId="9" borderId="1" xfId="0" applyFont="1" applyFill="1" applyBorder="1"/>
    <xf numFmtId="0" fontId="6" fillId="0" borderId="1" xfId="0" applyFont="1" applyBorder="1" applyAlignment="1">
      <alignment vertical="center"/>
    </xf>
    <xf numFmtId="0" fontId="6" fillId="0" borderId="1" xfId="0" applyFont="1" applyBorder="1" applyAlignment="1">
      <alignment horizontal="justify" vertical="justify" wrapText="1"/>
    </xf>
    <xf numFmtId="0" fontId="6" fillId="0" borderId="2" xfId="0" applyFont="1" applyFill="1" applyBorder="1" applyAlignment="1">
      <alignment vertical="center"/>
    </xf>
    <xf numFmtId="0" fontId="3" fillId="0" borderId="2" xfId="0" applyFont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2" fontId="3" fillId="0" borderId="0" xfId="0" applyNumberFormat="1" applyFont="1" applyFill="1" applyBorder="1" applyAlignment="1">
      <alignment horizontal="center" vertical="center"/>
    </xf>
    <xf numFmtId="166" fontId="1" fillId="0" borderId="0" xfId="0" applyNumberFormat="1" applyFont="1" applyFill="1" applyBorder="1"/>
    <xf numFmtId="0" fontId="9" fillId="0" borderId="0" xfId="0" applyFont="1"/>
    <xf numFmtId="9" fontId="9" fillId="0" borderId="0" xfId="0" applyNumberFormat="1" applyFont="1"/>
    <xf numFmtId="0" fontId="1" fillId="0" borderId="0" xfId="0" applyFont="1" applyFill="1" applyBorder="1"/>
    <xf numFmtId="0" fontId="9" fillId="0" borderId="1" xfId="0" applyFont="1" applyBorder="1" applyAlignment="1">
      <alignment horizontal="justify" vertical="justify" wrapText="1"/>
    </xf>
    <xf numFmtId="0" fontId="10" fillId="0" borderId="2" xfId="0" applyFont="1" applyFill="1" applyBorder="1" applyAlignment="1">
      <alignment vertical="center" wrapText="1"/>
    </xf>
    <xf numFmtId="0" fontId="1" fillId="0" borderId="1" xfId="0" applyFont="1" applyBorder="1" applyAlignment="1">
      <alignment wrapText="1"/>
    </xf>
    <xf numFmtId="164" fontId="1" fillId="0" borderId="0" xfId="0" applyNumberFormat="1" applyFont="1" applyFill="1"/>
    <xf numFmtId="164" fontId="9" fillId="0" borderId="0" xfId="0" applyNumberFormat="1" applyFont="1" applyFill="1" applyBorder="1"/>
    <xf numFmtId="0" fontId="11" fillId="0" borderId="0" xfId="0" applyFont="1" applyFill="1" applyBorder="1"/>
    <xf numFmtId="0" fontId="1" fillId="0" borderId="0" xfId="0" applyFont="1" applyFill="1"/>
    <xf numFmtId="0" fontId="12" fillId="0" borderId="1" xfId="0" applyFont="1" applyBorder="1" applyAlignment="1">
      <alignment horizontal="center"/>
    </xf>
    <xf numFmtId="0" fontId="13" fillId="0" borderId="1" xfId="0" applyFont="1" applyBorder="1" applyAlignment="1">
      <alignment horizontal="center"/>
    </xf>
    <xf numFmtId="0" fontId="1" fillId="9" borderId="1" xfId="0" applyFont="1" applyFill="1" applyBorder="1"/>
    <xf numFmtId="164" fontId="6" fillId="9" borderId="1" xfId="0" applyNumberFormat="1" applyFont="1" applyFill="1" applyBorder="1"/>
    <xf numFmtId="164" fontId="9" fillId="0" borderId="1" xfId="0" applyNumberFormat="1" applyFont="1" applyBorder="1"/>
    <xf numFmtId="165" fontId="14" fillId="0" borderId="1" xfId="0" applyNumberFormat="1" applyFont="1" applyBorder="1"/>
    <xf numFmtId="165" fontId="9" fillId="0" borderId="1" xfId="0" applyNumberFormat="1" applyFont="1" applyBorder="1"/>
    <xf numFmtId="164" fontId="1" fillId="0" borderId="0" xfId="0" applyNumberFormat="1" applyFont="1"/>
    <xf numFmtId="166" fontId="3" fillId="9" borderId="1" xfId="0" applyNumberFormat="1" applyFont="1" applyFill="1" applyBorder="1"/>
    <xf numFmtId="0" fontId="3" fillId="9" borderId="1" xfId="0" applyFont="1" applyFill="1" applyBorder="1"/>
    <xf numFmtId="164" fontId="3" fillId="9" borderId="1" xfId="0" applyNumberFormat="1" applyFont="1" applyFill="1" applyBorder="1"/>
    <xf numFmtId="0" fontId="9" fillId="9" borderId="1" xfId="0" applyFont="1" applyFill="1" applyBorder="1"/>
    <xf numFmtId="164" fontId="1" fillId="9" borderId="1" xfId="0" applyNumberFormat="1" applyFont="1" applyFill="1" applyBorder="1"/>
    <xf numFmtId="0" fontId="12" fillId="0" borderId="1" xfId="0" applyFont="1" applyFill="1" applyBorder="1" applyAlignment="1">
      <alignment horizontal="center"/>
    </xf>
    <xf numFmtId="0" fontId="3" fillId="7" borderId="1" xfId="0" applyFont="1" applyFill="1" applyBorder="1" applyAlignment="1">
      <alignment horizontal="center"/>
    </xf>
    <xf numFmtId="164" fontId="3" fillId="7" borderId="1" xfId="0" applyNumberFormat="1" applyFont="1" applyFill="1" applyBorder="1"/>
    <xf numFmtId="164" fontId="3" fillId="7" borderId="2" xfId="0" applyNumberFormat="1" applyFont="1" applyFill="1" applyBorder="1"/>
    <xf numFmtId="0" fontId="1" fillId="7" borderId="0" xfId="0" applyFont="1" applyFill="1"/>
    <xf numFmtId="0" fontId="13" fillId="9" borderId="1" xfId="0" applyFont="1" applyFill="1" applyBorder="1" applyAlignment="1">
      <alignment horizontal="center"/>
    </xf>
    <xf numFmtId="0" fontId="1" fillId="9" borderId="0" xfId="0" applyFont="1" applyFill="1"/>
    <xf numFmtId="166" fontId="3" fillId="0" borderId="1" xfId="0" applyNumberFormat="1" applyFont="1" applyBorder="1"/>
    <xf numFmtId="164" fontId="3" fillId="0" borderId="1" xfId="0" applyNumberFormat="1" applyFont="1" applyBorder="1"/>
    <xf numFmtId="0" fontId="9" fillId="0" borderId="1" xfId="0" applyFont="1" applyBorder="1"/>
    <xf numFmtId="0" fontId="13" fillId="6" borderId="1" xfId="0" applyFont="1" applyFill="1" applyBorder="1" applyAlignment="1">
      <alignment horizontal="center"/>
    </xf>
    <xf numFmtId="164" fontId="13" fillId="8" borderId="1" xfId="0" applyNumberFormat="1" applyFont="1" applyFill="1" applyBorder="1" applyAlignment="1">
      <alignment horizontal="center"/>
    </xf>
    <xf numFmtId="164" fontId="2" fillId="0" borderId="0" xfId="0" applyNumberFormat="1" applyFont="1" applyFill="1" applyBorder="1"/>
    <xf numFmtId="0" fontId="1" fillId="8" borderId="0" xfId="0" applyFont="1" applyFill="1"/>
    <xf numFmtId="0" fontId="11" fillId="0" borderId="1" xfId="0" applyFont="1" applyBorder="1"/>
    <xf numFmtId="165" fontId="1" fillId="0" borderId="0" xfId="0" applyNumberFormat="1" applyFont="1"/>
    <xf numFmtId="164" fontId="1" fillId="0" borderId="0" xfId="0" applyNumberFormat="1" applyFont="1" applyFill="1" applyBorder="1"/>
    <xf numFmtId="164" fontId="11" fillId="0" borderId="0" xfId="0" applyNumberFormat="1" applyFont="1" applyBorder="1"/>
    <xf numFmtId="0" fontId="3" fillId="7" borderId="1" xfId="0" applyFont="1" applyFill="1" applyBorder="1"/>
    <xf numFmtId="0" fontId="1" fillId="9" borderId="1" xfId="0" applyFont="1" applyFill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Fill="1" applyBorder="1"/>
    <xf numFmtId="164" fontId="6" fillId="10" borderId="1" xfId="0" applyNumberFormat="1" applyFont="1" applyFill="1" applyBorder="1"/>
    <xf numFmtId="0" fontId="3" fillId="0" borderId="2" xfId="0" applyFont="1" applyFill="1" applyBorder="1" applyAlignment="1">
      <alignment vertical="center" wrapText="1"/>
    </xf>
    <xf numFmtId="164" fontId="1" fillId="0" borderId="1" xfId="0" applyNumberFormat="1" applyFont="1" applyBorder="1"/>
    <xf numFmtId="0" fontId="6" fillId="0" borderId="1" xfId="0" applyFont="1" applyBorder="1" applyAlignment="1">
      <alignment horizontal="justify" vertical="center" wrapText="1"/>
    </xf>
    <xf numFmtId="0" fontId="1" fillId="0" borderId="0" xfId="0" applyFont="1" applyAlignment="1">
      <alignment horizontal="center"/>
    </xf>
    <xf numFmtId="165" fontId="14" fillId="0" borderId="1" xfId="0" applyNumberFormat="1" applyFont="1" applyBorder="1" applyAlignment="1">
      <alignment horizontal="center"/>
    </xf>
    <xf numFmtId="164" fontId="3" fillId="7" borderId="1" xfId="0" applyNumberFormat="1" applyFont="1" applyFill="1" applyBorder="1" applyAlignment="1">
      <alignment horizontal="center"/>
    </xf>
    <xf numFmtId="0" fontId="9" fillId="0" borderId="0" xfId="0" applyFont="1" applyFill="1"/>
    <xf numFmtId="164" fontId="6" fillId="0" borderId="1" xfId="0" applyNumberFormat="1" applyFont="1" applyFill="1" applyBorder="1"/>
    <xf numFmtId="164" fontId="3" fillId="0" borderId="1" xfId="0" applyNumberFormat="1" applyFont="1" applyFill="1" applyBorder="1"/>
    <xf numFmtId="164" fontId="11" fillId="0" borderId="0" xfId="0" applyNumberFormat="1" applyFont="1" applyFill="1" applyBorder="1"/>
    <xf numFmtId="0" fontId="15" fillId="11" borderId="1" xfId="0" applyFont="1" applyFill="1" applyBorder="1" applyAlignment="1">
      <alignment horizontal="justify" vertical="justify" wrapText="1"/>
    </xf>
    <xf numFmtId="0" fontId="2" fillId="0" borderId="2" xfId="0" applyFont="1" applyFill="1" applyBorder="1" applyAlignment="1">
      <alignment vertical="center" wrapText="1"/>
    </xf>
    <xf numFmtId="0" fontId="1" fillId="0" borderId="2" xfId="0" applyFont="1" applyFill="1" applyBorder="1" applyAlignment="1">
      <alignment vertical="center" wrapText="1"/>
    </xf>
    <xf numFmtId="0" fontId="3" fillId="0" borderId="2" xfId="0" applyFont="1" applyFill="1" applyBorder="1" applyAlignment="1">
      <alignment horizontal="center" vertical="center" wrapText="1"/>
    </xf>
    <xf numFmtId="164" fontId="2" fillId="0" borderId="1" xfId="0" applyNumberFormat="1" applyFont="1" applyFill="1" applyBorder="1"/>
    <xf numFmtId="0" fontId="6" fillId="5" borderId="1" xfId="0" applyFont="1" applyFill="1" applyBorder="1" applyAlignment="1">
      <alignment horizontal="center" vertical="center" wrapText="1"/>
    </xf>
    <xf numFmtId="167" fontId="1" fillId="0" borderId="1" xfId="0" applyNumberFormat="1" applyFont="1" applyBorder="1"/>
    <xf numFmtId="165" fontId="1" fillId="0" borderId="0" xfId="0" applyNumberFormat="1" applyFont="1" applyAlignment="1">
      <alignment horizontal="center"/>
    </xf>
    <xf numFmtId="0" fontId="2" fillId="0" borderId="2" xfId="0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 wrapText="1"/>
    </xf>
    <xf numFmtId="165" fontId="1" fillId="0" borderId="2" xfId="0" applyNumberFormat="1" applyFont="1" applyBorder="1"/>
    <xf numFmtId="164" fontId="9" fillId="0" borderId="4" xfId="0" applyNumberFormat="1" applyFont="1" applyBorder="1"/>
    <xf numFmtId="0" fontId="15" fillId="12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horizontal="center" vertical="center" wrapText="1"/>
    </xf>
    <xf numFmtId="0" fontId="13" fillId="12" borderId="1" xfId="0" applyFont="1" applyFill="1" applyBorder="1" applyAlignment="1">
      <alignment wrapText="1"/>
    </xf>
    <xf numFmtId="0" fontId="15" fillId="12" borderId="1" xfId="0" applyFont="1" applyFill="1" applyBorder="1" applyAlignment="1">
      <alignment wrapText="1"/>
    </xf>
    <xf numFmtId="0" fontId="3" fillId="0" borderId="2" xfId="0" applyFont="1" applyFill="1" applyBorder="1" applyAlignment="1">
      <alignment wrapText="1"/>
    </xf>
    <xf numFmtId="0" fontId="5" fillId="0" borderId="0" xfId="0" applyFont="1" applyFill="1" applyBorder="1" applyAlignment="1">
      <alignment vertical="top" wrapText="1"/>
    </xf>
    <xf numFmtId="0" fontId="15" fillId="11" borderId="1" xfId="0" applyFont="1" applyFill="1" applyBorder="1" applyAlignment="1">
      <alignment horizontal="center" vertical="center" wrapText="1"/>
    </xf>
    <xf numFmtId="0" fontId="6" fillId="10" borderId="1" xfId="0" applyFont="1" applyFill="1" applyBorder="1" applyAlignment="1">
      <alignment vertical="center"/>
    </xf>
    <xf numFmtId="164" fontId="9" fillId="10" borderId="1" xfId="0" applyNumberFormat="1" applyFont="1" applyFill="1" applyBorder="1"/>
    <xf numFmtId="165" fontId="1" fillId="10" borderId="1" xfId="0" applyNumberFormat="1" applyFont="1" applyFill="1" applyBorder="1"/>
    <xf numFmtId="165" fontId="14" fillId="13" borderId="1" xfId="0" applyNumberFormat="1" applyFont="1" applyFill="1" applyBorder="1" applyAlignment="1">
      <alignment horizontal="center"/>
    </xf>
    <xf numFmtId="165" fontId="14" fillId="5" borderId="1" xfId="0" applyNumberFormat="1" applyFont="1" applyFill="1" applyBorder="1" applyAlignment="1">
      <alignment horizontal="center"/>
    </xf>
    <xf numFmtId="0" fontId="8" fillId="0" borderId="9" xfId="0" applyFont="1" applyFill="1" applyBorder="1" applyAlignment="1">
      <alignment horizontal="center"/>
    </xf>
    <xf numFmtId="0" fontId="13" fillId="14" borderId="5" xfId="0" applyFont="1" applyFill="1" applyBorder="1" applyAlignment="1">
      <alignment horizontal="center"/>
    </xf>
    <xf numFmtId="0" fontId="13" fillId="14" borderId="0" xfId="0" applyFont="1" applyFill="1" applyBorder="1"/>
    <xf numFmtId="0" fontId="1" fillId="14" borderId="0" xfId="0" applyFont="1" applyFill="1" applyBorder="1"/>
    <xf numFmtId="0" fontId="8" fillId="14" borderId="9" xfId="0" applyFont="1" applyFill="1" applyBorder="1" applyAlignment="1">
      <alignment horizontal="center"/>
    </xf>
    <xf numFmtId="165" fontId="1" fillId="9" borderId="1" xfId="0" applyNumberFormat="1" applyFont="1" applyFill="1" applyBorder="1"/>
    <xf numFmtId="165" fontId="14" fillId="9" borderId="1" xfId="0" applyNumberFormat="1" applyFont="1" applyFill="1" applyBorder="1" applyAlignment="1">
      <alignment horizontal="center"/>
    </xf>
    <xf numFmtId="164" fontId="9" fillId="9" borderId="1" xfId="0" applyNumberFormat="1" applyFont="1" applyFill="1" applyBorder="1"/>
    <xf numFmtId="165" fontId="1" fillId="0" borderId="4" xfId="0" applyNumberFormat="1" applyFont="1" applyFill="1" applyBorder="1" applyAlignment="1">
      <alignment horizontal="center"/>
    </xf>
    <xf numFmtId="164" fontId="3" fillId="4" borderId="1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/>
    </xf>
    <xf numFmtId="168" fontId="1" fillId="0" borderId="0" xfId="0" applyNumberFormat="1" applyFont="1" applyFill="1"/>
    <xf numFmtId="0" fontId="1" fillId="0" borderId="4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165" fontId="3" fillId="4" borderId="1" xfId="0" applyNumberFormat="1" applyFont="1" applyFill="1" applyBorder="1" applyAlignment="1">
      <alignment horizontal="center"/>
    </xf>
    <xf numFmtId="0" fontId="3" fillId="4" borderId="1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2" fontId="3" fillId="0" borderId="0" xfId="0" applyNumberFormat="1" applyFont="1" applyFill="1" applyBorder="1" applyAlignment="1">
      <alignment horizontal="center" vertical="center" wrapText="1"/>
    </xf>
    <xf numFmtId="165" fontId="9" fillId="0" borderId="0" xfId="0" applyNumberFormat="1" applyFont="1" applyFill="1" applyBorder="1"/>
    <xf numFmtId="165" fontId="11" fillId="0" borderId="0" xfId="0" applyNumberFormat="1" applyFont="1" applyFill="1" applyBorder="1"/>
    <xf numFmtId="169" fontId="1" fillId="0" borderId="0" xfId="0" applyNumberFormat="1" applyFont="1" applyFill="1" applyBorder="1"/>
    <xf numFmtId="169" fontId="3" fillId="0" borderId="0" xfId="0" applyNumberFormat="1" applyFont="1" applyFill="1" applyBorder="1"/>
    <xf numFmtId="165" fontId="3" fillId="0" borderId="1" xfId="0" applyNumberFormat="1" applyFont="1" applyBorder="1" applyAlignment="1">
      <alignment horizontal="center"/>
    </xf>
    <xf numFmtId="0" fontId="1" fillId="0" borderId="0" xfId="0" applyFont="1" applyFill="1" applyBorder="1" applyAlignment="1">
      <alignment horizontal="center"/>
    </xf>
    <xf numFmtId="0" fontId="1" fillId="0" borderId="7" xfId="0" applyFont="1" applyBorder="1" applyAlignment="1">
      <alignment wrapText="1"/>
    </xf>
    <xf numFmtId="0" fontId="3" fillId="0" borderId="7" xfId="0" applyFont="1" applyBorder="1" applyAlignment="1">
      <alignment horizontal="center"/>
    </xf>
    <xf numFmtId="0" fontId="3" fillId="4" borderId="17" xfId="0" applyFont="1" applyFill="1" applyBorder="1" applyAlignment="1">
      <alignment horizontal="center"/>
    </xf>
    <xf numFmtId="164" fontId="3" fillId="4" borderId="17" xfId="0" applyNumberFormat="1" applyFont="1" applyFill="1" applyBorder="1" applyAlignment="1">
      <alignment horizontal="center"/>
    </xf>
    <xf numFmtId="0" fontId="1" fillId="0" borderId="0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165" fontId="3" fillId="4" borderId="17" xfId="0" applyNumberFormat="1" applyFont="1" applyFill="1" applyBorder="1" applyAlignment="1">
      <alignment horizontal="center"/>
    </xf>
    <xf numFmtId="0" fontId="1" fillId="0" borderId="2" xfId="0" applyFont="1" applyBorder="1" applyAlignment="1">
      <alignment horizontal="center" vertical="center" wrapText="1"/>
    </xf>
    <xf numFmtId="165" fontId="3" fillId="0" borderId="4" xfId="0" applyNumberFormat="1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0" fillId="0" borderId="0" xfId="0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6" fillId="0" borderId="0" xfId="0" applyFont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0" xfId="0" applyFont="1" applyFill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4" fillId="3" borderId="13" xfId="0" applyFont="1" applyFill="1" applyBorder="1" applyAlignment="1">
      <alignment horizontal="center"/>
    </xf>
    <xf numFmtId="0" fontId="4" fillId="3" borderId="14" xfId="0" applyFont="1" applyFill="1" applyBorder="1" applyAlignment="1">
      <alignment horizontal="center"/>
    </xf>
    <xf numFmtId="0" fontId="4" fillId="3" borderId="15" xfId="0" applyFont="1" applyFill="1" applyBorder="1" applyAlignment="1">
      <alignment horizontal="center"/>
    </xf>
    <xf numFmtId="0" fontId="8" fillId="2" borderId="9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0" fillId="3" borderId="3" xfId="0" applyFont="1" applyFill="1" applyBorder="1" applyAlignment="1">
      <alignment horizontal="center"/>
    </xf>
    <xf numFmtId="0" fontId="10" fillId="3" borderId="4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wrapText="1"/>
    </xf>
    <xf numFmtId="0" fontId="10" fillId="3" borderId="3" xfId="0" applyFont="1" applyFill="1" applyBorder="1" applyAlignment="1">
      <alignment horizontal="center" wrapText="1"/>
    </xf>
    <xf numFmtId="0" fontId="10" fillId="3" borderId="4" xfId="0" applyFont="1" applyFill="1" applyBorder="1" applyAlignment="1">
      <alignment horizont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1" fillId="0" borderId="7" xfId="0" applyFont="1" applyBorder="1" applyAlignment="1">
      <alignment horizontal="center" vertical="justify" wrapText="1"/>
    </xf>
    <xf numFmtId="0" fontId="1" fillId="0" borderId="5" xfId="0" applyFont="1" applyBorder="1" applyAlignment="1">
      <alignment horizontal="center" vertical="justify" wrapText="1"/>
    </xf>
    <xf numFmtId="0" fontId="1" fillId="0" borderId="8" xfId="0" applyFont="1" applyBorder="1" applyAlignment="1">
      <alignment horizontal="center" vertical="justify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8" xfId="0" applyFont="1" applyBorder="1" applyAlignment="1">
      <alignment horizontal="center" vertical="center" wrapText="1"/>
    </xf>
    <xf numFmtId="0" fontId="13" fillId="14" borderId="16" xfId="0" applyFont="1" applyFill="1" applyBorder="1" applyAlignment="1">
      <alignment horizontal="center"/>
    </xf>
    <xf numFmtId="0" fontId="13" fillId="14" borderId="0" xfId="0" applyFont="1" applyFill="1" applyBorder="1" applyAlignment="1">
      <alignment horizontal="center"/>
    </xf>
    <xf numFmtId="0" fontId="13" fillId="14" borderId="2" xfId="0" applyFont="1" applyFill="1" applyBorder="1" applyAlignment="1">
      <alignment horizontal="center"/>
    </xf>
    <xf numFmtId="0" fontId="13" fillId="14" borderId="3" xfId="0" applyFont="1" applyFill="1" applyBorder="1" applyAlignment="1">
      <alignment horizontal="center"/>
    </xf>
    <xf numFmtId="0" fontId="1" fillId="0" borderId="0" xfId="0" applyFont="1" applyAlignment="1">
      <alignment horizontal="center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S101"/>
  <sheetViews>
    <sheetView workbookViewId="0">
      <selection activeCell="A4" sqref="A1:XFD1048576"/>
    </sheetView>
  </sheetViews>
  <sheetFormatPr defaultRowHeight="15"/>
  <cols>
    <col min="1" max="1" width="56.85546875" customWidth="1"/>
    <col min="2" max="2" width="12.7109375" customWidth="1"/>
    <col min="3" max="3" width="10" customWidth="1"/>
    <col min="4" max="4" width="13.28515625" customWidth="1"/>
    <col min="5" max="5" width="11.7109375" customWidth="1"/>
    <col min="6" max="6" width="14" customWidth="1"/>
    <col min="7" max="7" width="20" customWidth="1"/>
    <col min="9" max="17" width="9.140625" style="41"/>
  </cols>
  <sheetData>
    <row r="1" spans="1:11">
      <c r="F1" s="25" t="s">
        <v>18</v>
      </c>
      <c r="G1" s="25"/>
    </row>
    <row r="2" spans="1:11">
      <c r="F2" s="25" t="s">
        <v>19</v>
      </c>
      <c r="G2" s="25"/>
    </row>
    <row r="3" spans="1:11" ht="15.75">
      <c r="A3" s="198" t="s">
        <v>17</v>
      </c>
      <c r="B3" s="198"/>
      <c r="C3" s="198"/>
      <c r="D3" s="198"/>
      <c r="E3" s="198"/>
      <c r="F3" s="198"/>
      <c r="G3" s="198"/>
    </row>
    <row r="4" spans="1:11" ht="15.75">
      <c r="A4" s="198" t="s">
        <v>283</v>
      </c>
      <c r="B4" s="198"/>
      <c r="C4" s="198"/>
      <c r="D4" s="198"/>
      <c r="E4" s="198"/>
      <c r="F4" s="198"/>
      <c r="G4" s="198"/>
    </row>
    <row r="5" spans="1:11" ht="15.75">
      <c r="A5" s="198" t="s">
        <v>282</v>
      </c>
      <c r="B5" s="198"/>
      <c r="C5" s="198"/>
      <c r="D5" s="198"/>
      <c r="E5" s="198"/>
      <c r="F5" s="198"/>
      <c r="G5" s="198"/>
    </row>
    <row r="6" spans="1:11" ht="15.75">
      <c r="A6" s="199" t="s">
        <v>284</v>
      </c>
      <c r="B6" s="199"/>
      <c r="C6" s="199"/>
      <c r="D6" s="199"/>
      <c r="E6" s="199"/>
      <c r="F6" s="199"/>
      <c r="G6" s="199"/>
    </row>
    <row r="7" spans="1:11" ht="147" customHeight="1">
      <c r="A7" s="8" t="s">
        <v>0</v>
      </c>
      <c r="B7" s="4" t="s">
        <v>1</v>
      </c>
      <c r="C7" s="4" t="s">
        <v>2</v>
      </c>
      <c r="D7" s="5" t="s">
        <v>3</v>
      </c>
      <c r="E7" s="4" t="s">
        <v>4</v>
      </c>
      <c r="F7" s="4" t="s">
        <v>5</v>
      </c>
      <c r="G7" s="4" t="s">
        <v>6</v>
      </c>
    </row>
    <row r="8" spans="1:11" ht="15.75" customHeight="1">
      <c r="A8" s="1"/>
      <c r="B8" s="7" t="s">
        <v>7</v>
      </c>
      <c r="C8" s="7" t="s">
        <v>7</v>
      </c>
      <c r="D8" s="7" t="s">
        <v>7</v>
      </c>
      <c r="E8" s="21" t="s">
        <v>8</v>
      </c>
      <c r="F8" s="21" t="s">
        <v>9</v>
      </c>
      <c r="G8" s="21" t="s">
        <v>9</v>
      </c>
    </row>
    <row r="9" spans="1:11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</row>
    <row r="10" spans="1:11">
      <c r="A10" s="193" t="s">
        <v>270</v>
      </c>
      <c r="B10" s="194"/>
      <c r="C10" s="194"/>
      <c r="D10" s="194"/>
      <c r="E10" s="194"/>
      <c r="F10" s="194"/>
      <c r="G10" s="195"/>
    </row>
    <row r="11" spans="1:11">
      <c r="A11" s="193" t="s">
        <v>289</v>
      </c>
      <c r="B11" s="194"/>
      <c r="C11" s="194"/>
      <c r="D11" s="194"/>
      <c r="E11" s="194"/>
      <c r="F11" s="194"/>
      <c r="G11" s="195"/>
    </row>
    <row r="12" spans="1:11">
      <c r="A12" s="47"/>
      <c r="B12" s="48"/>
      <c r="C12" s="48"/>
      <c r="D12" s="48"/>
      <c r="E12" s="48"/>
      <c r="F12" s="48"/>
      <c r="G12" s="49"/>
    </row>
    <row r="13" spans="1:11">
      <c r="A13" s="6" t="s">
        <v>65</v>
      </c>
      <c r="B13" s="1"/>
      <c r="C13" s="1"/>
      <c r="D13" s="1"/>
      <c r="E13" s="1"/>
      <c r="F13" s="1"/>
      <c r="G13" s="1"/>
    </row>
    <row r="14" spans="1:11">
      <c r="A14" s="6" t="s">
        <v>21</v>
      </c>
      <c r="B14" s="21"/>
      <c r="C14" s="24">
        <v>14.327</v>
      </c>
      <c r="D14" s="24">
        <f>B14+C14</f>
        <v>14.327</v>
      </c>
      <c r="E14" s="21">
        <v>27593</v>
      </c>
      <c r="F14" s="26">
        <v>60541</v>
      </c>
      <c r="G14" s="27">
        <f>(D14*E14)+F14</f>
        <v>455865.91100000002</v>
      </c>
      <c r="I14" s="41">
        <f>D14*E14</f>
        <v>395324.91100000002</v>
      </c>
      <c r="K14" s="40"/>
    </row>
    <row r="15" spans="1:11">
      <c r="A15" s="6" t="s">
        <v>20</v>
      </c>
      <c r="B15" s="1"/>
      <c r="C15" s="2"/>
      <c r="D15" s="1"/>
      <c r="E15" s="1"/>
      <c r="F15" s="2"/>
      <c r="G15" s="1"/>
    </row>
    <row r="16" spans="1:11">
      <c r="A16" s="6"/>
      <c r="B16" s="1"/>
      <c r="C16" s="2"/>
      <c r="D16" s="1"/>
      <c r="E16" s="1"/>
      <c r="F16" s="2"/>
      <c r="G16" s="1"/>
    </row>
    <row r="17" spans="1:19">
      <c r="A17" s="30"/>
      <c r="B17" s="31"/>
      <c r="C17" s="50"/>
      <c r="D17" s="31"/>
      <c r="E17" s="31"/>
      <c r="F17" s="50"/>
      <c r="G17" s="32"/>
    </row>
    <row r="18" spans="1:19">
      <c r="A18" s="193" t="s">
        <v>272</v>
      </c>
      <c r="B18" s="194"/>
      <c r="C18" s="194"/>
      <c r="D18" s="194"/>
      <c r="E18" s="194"/>
      <c r="F18" s="194"/>
      <c r="G18" s="195"/>
    </row>
    <row r="19" spans="1:19">
      <c r="A19" s="193" t="s">
        <v>290</v>
      </c>
      <c r="B19" s="194"/>
      <c r="C19" s="194"/>
      <c r="D19" s="194"/>
      <c r="E19" s="194"/>
      <c r="F19" s="194"/>
      <c r="G19" s="195"/>
    </row>
    <row r="20" spans="1:19">
      <c r="A20" s="47"/>
      <c r="B20" s="48"/>
      <c r="C20" s="48"/>
      <c r="D20" s="48"/>
      <c r="E20" s="48"/>
      <c r="F20" s="48"/>
      <c r="G20" s="49"/>
    </row>
    <row r="21" spans="1:19">
      <c r="A21" s="6" t="s">
        <v>64</v>
      </c>
      <c r="B21" s="1"/>
      <c r="C21" s="1"/>
      <c r="D21" s="1"/>
      <c r="E21" s="1"/>
      <c r="F21" s="1"/>
      <c r="G21" s="1"/>
    </row>
    <row r="22" spans="1:19">
      <c r="A22" s="6" t="s">
        <v>22</v>
      </c>
      <c r="B22" s="21"/>
      <c r="C22" s="37">
        <v>27.975999999999999</v>
      </c>
      <c r="D22" s="37">
        <f>B22+C22</f>
        <v>27.975999999999999</v>
      </c>
      <c r="E22" s="26">
        <v>275</v>
      </c>
      <c r="F22" s="26">
        <v>650.9</v>
      </c>
      <c r="G22" s="27">
        <f>ROUND(D22*E22+F22,1)</f>
        <v>8344.2999999999993</v>
      </c>
      <c r="I22" s="41">
        <f>D22*E22</f>
        <v>7693.4</v>
      </c>
      <c r="K22" s="40"/>
      <c r="M22" s="12"/>
      <c r="N22" s="11"/>
      <c r="O22" s="11"/>
      <c r="P22" s="11"/>
      <c r="Q22" s="11"/>
      <c r="R22" s="10"/>
      <c r="S22" s="10"/>
    </row>
    <row r="23" spans="1:19">
      <c r="A23" s="6" t="s">
        <v>20</v>
      </c>
      <c r="B23" s="1"/>
      <c r="C23" s="2"/>
      <c r="D23" s="1"/>
      <c r="E23" s="1"/>
      <c r="F23" s="2"/>
      <c r="G23" s="1"/>
      <c r="M23" s="12"/>
      <c r="N23" s="11"/>
      <c r="O23" s="11"/>
      <c r="P23" s="11"/>
      <c r="Q23" s="11"/>
      <c r="R23" s="10"/>
      <c r="S23" s="10"/>
    </row>
    <row r="24" spans="1:19">
      <c r="A24" s="6"/>
      <c r="B24" s="1"/>
      <c r="C24" s="2"/>
      <c r="D24" s="1"/>
      <c r="E24" s="1"/>
      <c r="F24" s="2"/>
      <c r="G24" s="1"/>
      <c r="M24" s="12"/>
      <c r="N24" s="11"/>
      <c r="O24" s="11"/>
      <c r="P24" s="11"/>
      <c r="Q24" s="11"/>
      <c r="R24" s="10"/>
      <c r="S24" s="10"/>
    </row>
    <row r="25" spans="1:19">
      <c r="A25" s="193"/>
      <c r="B25" s="194"/>
      <c r="C25" s="194"/>
      <c r="D25" s="194"/>
      <c r="E25" s="194"/>
      <c r="F25" s="194"/>
      <c r="G25" s="195"/>
    </row>
    <row r="26" spans="1:19">
      <c r="A26" s="193" t="s">
        <v>271</v>
      </c>
      <c r="B26" s="194"/>
      <c r="C26" s="194"/>
      <c r="D26" s="194"/>
      <c r="E26" s="194"/>
      <c r="F26" s="194"/>
      <c r="G26" s="195"/>
    </row>
    <row r="27" spans="1:19">
      <c r="A27" s="193" t="s">
        <v>289</v>
      </c>
      <c r="B27" s="194"/>
      <c r="C27" s="194"/>
      <c r="D27" s="194"/>
      <c r="E27" s="194"/>
      <c r="F27" s="194"/>
      <c r="G27" s="195"/>
    </row>
    <row r="28" spans="1:19">
      <c r="A28" s="6"/>
      <c r="B28" s="1"/>
      <c r="C28" s="1"/>
      <c r="D28" s="1"/>
      <c r="E28" s="1"/>
      <c r="F28" s="2"/>
      <c r="G28" s="1"/>
    </row>
    <row r="29" spans="1:19">
      <c r="A29" s="6" t="s">
        <v>63</v>
      </c>
      <c r="B29" s="1"/>
      <c r="C29" s="1"/>
      <c r="D29" s="1"/>
      <c r="E29" s="1"/>
      <c r="F29" s="1"/>
      <c r="G29" s="3"/>
    </row>
    <row r="30" spans="1:19">
      <c r="A30" s="6" t="s">
        <v>21</v>
      </c>
      <c r="B30" s="1"/>
      <c r="C30" s="1">
        <v>22.667999999999999</v>
      </c>
      <c r="D30" s="37">
        <f>B30+C30</f>
        <v>22.667999999999999</v>
      </c>
      <c r="E30" s="2">
        <v>1718</v>
      </c>
      <c r="F30" s="1">
        <v>4815.3999999999996</v>
      </c>
      <c r="G30" s="27">
        <f>(D30*E30)+F30</f>
        <v>43759.023999999998</v>
      </c>
      <c r="I30" s="41">
        <f>D30*E30</f>
        <v>38943.623999999996</v>
      </c>
      <c r="K30" s="40"/>
    </row>
    <row r="31" spans="1:19">
      <c r="A31" s="6" t="s">
        <v>20</v>
      </c>
      <c r="B31" s="1"/>
      <c r="C31" s="1"/>
      <c r="D31" s="1"/>
      <c r="E31" s="1"/>
      <c r="F31" s="1"/>
      <c r="G31" s="7"/>
    </row>
    <row r="32" spans="1:19">
      <c r="A32" s="6"/>
      <c r="B32" s="7"/>
      <c r="C32" s="7"/>
      <c r="D32" s="7"/>
      <c r="E32" s="7"/>
      <c r="F32" s="7"/>
      <c r="G32" s="7"/>
    </row>
    <row r="33" spans="1:11" ht="15.75" thickBot="1">
      <c r="A33" s="6"/>
      <c r="B33" s="21"/>
      <c r="C33" s="23"/>
      <c r="D33" s="21"/>
      <c r="E33" s="21"/>
      <c r="F33" s="23"/>
      <c r="G33" s="22"/>
    </row>
    <row r="34" spans="1:11" ht="15.75" thickBot="1">
      <c r="A34" s="35" t="s">
        <v>10</v>
      </c>
      <c r="B34" s="34"/>
      <c r="C34" s="34"/>
      <c r="D34" s="34"/>
      <c r="E34" s="34">
        <f>E14+E30+E22</f>
        <v>29586</v>
      </c>
      <c r="F34" s="34">
        <f t="shared" ref="F34:G34" si="0">F14+F30+F22</f>
        <v>66007.3</v>
      </c>
      <c r="G34" s="34">
        <f t="shared" si="0"/>
        <v>507969.23499999999</v>
      </c>
      <c r="I34" s="57">
        <f>I14+I22+I30</f>
        <v>441961.93500000006</v>
      </c>
      <c r="J34" s="41">
        <f>I34/E34</f>
        <v>14.938211823159605</v>
      </c>
      <c r="K34" s="40"/>
    </row>
    <row r="35" spans="1:11">
      <c r="A35" s="36"/>
      <c r="B35" s="36"/>
      <c r="C35" s="36"/>
      <c r="D35" s="36"/>
      <c r="E35" s="36"/>
      <c r="F35" s="36"/>
      <c r="G35" s="36"/>
    </row>
    <row r="36" spans="1:11">
      <c r="A36" s="6"/>
      <c r="B36" s="1"/>
      <c r="C36" s="1"/>
      <c r="D36" s="1"/>
      <c r="E36" s="1"/>
      <c r="F36" s="1"/>
      <c r="G36" s="1"/>
    </row>
    <row r="37" spans="1:11">
      <c r="A37" s="193" t="s">
        <v>270</v>
      </c>
      <c r="B37" s="194"/>
      <c r="C37" s="194"/>
      <c r="D37" s="194"/>
      <c r="E37" s="194"/>
      <c r="F37" s="194"/>
      <c r="G37" s="195"/>
    </row>
    <row r="38" spans="1:11">
      <c r="A38" s="193" t="s">
        <v>289</v>
      </c>
      <c r="B38" s="194"/>
      <c r="C38" s="194"/>
      <c r="D38" s="194"/>
      <c r="E38" s="194"/>
      <c r="F38" s="194"/>
      <c r="G38" s="195"/>
    </row>
    <row r="39" spans="1:11">
      <c r="A39" s="47"/>
      <c r="B39" s="48"/>
      <c r="C39" s="48"/>
      <c r="D39" s="48"/>
      <c r="E39" s="48"/>
      <c r="F39" s="48"/>
      <c r="G39" s="49"/>
    </row>
    <row r="40" spans="1:11">
      <c r="A40" s="6" t="s">
        <v>65</v>
      </c>
      <c r="B40" s="1"/>
      <c r="C40" s="1"/>
      <c r="D40" s="1"/>
      <c r="E40" s="1"/>
      <c r="F40" s="1"/>
      <c r="G40" s="1"/>
    </row>
    <row r="41" spans="1:11">
      <c r="A41" s="6" t="s">
        <v>21</v>
      </c>
      <c r="B41" s="21"/>
      <c r="C41" s="24">
        <v>15.074</v>
      </c>
      <c r="D41" s="24">
        <f>B41+C41</f>
        <v>15.074</v>
      </c>
      <c r="E41" s="21">
        <v>27593</v>
      </c>
      <c r="F41" s="26">
        <v>67003.199999999997</v>
      </c>
      <c r="G41" s="27">
        <f>(D41*E41)+F41</f>
        <v>482940.08199999999</v>
      </c>
    </row>
    <row r="42" spans="1:11">
      <c r="A42" s="6" t="s">
        <v>20</v>
      </c>
      <c r="B42" s="1"/>
      <c r="C42" s="2"/>
      <c r="D42" s="1"/>
      <c r="E42" s="1"/>
      <c r="F42" s="2"/>
      <c r="G42" s="1"/>
    </row>
    <row r="43" spans="1:11">
      <c r="A43" s="6"/>
      <c r="B43" s="1"/>
      <c r="C43" s="2"/>
      <c r="D43" s="1"/>
      <c r="E43" s="1"/>
      <c r="F43" s="2"/>
      <c r="G43" s="1"/>
    </row>
    <row r="44" spans="1:11">
      <c r="A44" s="30"/>
      <c r="B44" s="31"/>
      <c r="C44" s="50"/>
      <c r="D44" s="31"/>
      <c r="E44" s="31"/>
      <c r="F44" s="50"/>
      <c r="G44" s="32"/>
    </row>
    <row r="45" spans="1:11">
      <c r="A45" s="193" t="s">
        <v>272</v>
      </c>
      <c r="B45" s="194"/>
      <c r="C45" s="194"/>
      <c r="D45" s="194"/>
      <c r="E45" s="194"/>
      <c r="F45" s="194"/>
      <c r="G45" s="195"/>
    </row>
    <row r="46" spans="1:11">
      <c r="A46" s="193" t="s">
        <v>290</v>
      </c>
      <c r="B46" s="194"/>
      <c r="C46" s="194"/>
      <c r="D46" s="194"/>
      <c r="E46" s="194"/>
      <c r="F46" s="194"/>
      <c r="G46" s="195"/>
    </row>
    <row r="47" spans="1:11">
      <c r="A47" s="47"/>
      <c r="B47" s="48"/>
      <c r="C47" s="48"/>
      <c r="D47" s="48"/>
      <c r="E47" s="48"/>
      <c r="F47" s="48"/>
      <c r="G47" s="49"/>
    </row>
    <row r="48" spans="1:11">
      <c r="A48" s="6" t="s">
        <v>64</v>
      </c>
      <c r="B48" s="1"/>
      <c r="C48" s="1"/>
      <c r="D48" s="1"/>
      <c r="E48" s="1"/>
      <c r="F48" s="1"/>
      <c r="G48" s="1"/>
    </row>
    <row r="49" spans="1:11">
      <c r="A49" s="6" t="s">
        <v>22</v>
      </c>
      <c r="B49" s="21"/>
      <c r="C49" s="37">
        <v>23.466999999999999</v>
      </c>
      <c r="D49" s="37">
        <f>B49+C49</f>
        <v>23.466999999999999</v>
      </c>
      <c r="E49" s="26">
        <v>275</v>
      </c>
      <c r="F49" s="26">
        <v>739.8</v>
      </c>
      <c r="G49" s="27">
        <f>ROUND(D49*E49+F49,1)</f>
        <v>7193.2</v>
      </c>
    </row>
    <row r="50" spans="1:11">
      <c r="A50" s="6" t="s">
        <v>20</v>
      </c>
      <c r="B50" s="1"/>
      <c r="C50" s="2"/>
      <c r="D50" s="1"/>
      <c r="E50" s="1"/>
      <c r="F50" s="2"/>
      <c r="G50" s="1"/>
    </row>
    <row r="51" spans="1:11">
      <c r="A51" s="6"/>
      <c r="B51" s="1"/>
      <c r="C51" s="2"/>
      <c r="D51" s="1"/>
      <c r="E51" s="1"/>
      <c r="F51" s="2"/>
      <c r="G51" s="1"/>
    </row>
    <row r="52" spans="1:11">
      <c r="A52" s="193"/>
      <c r="B52" s="194"/>
      <c r="C52" s="194"/>
      <c r="D52" s="194"/>
      <c r="E52" s="194"/>
      <c r="F52" s="194"/>
      <c r="G52" s="195"/>
    </row>
    <row r="53" spans="1:11">
      <c r="A53" s="193" t="s">
        <v>271</v>
      </c>
      <c r="B53" s="194"/>
      <c r="C53" s="194"/>
      <c r="D53" s="194"/>
      <c r="E53" s="194"/>
      <c r="F53" s="194"/>
      <c r="G53" s="195"/>
    </row>
    <row r="54" spans="1:11">
      <c r="A54" s="193" t="s">
        <v>289</v>
      </c>
      <c r="B54" s="194"/>
      <c r="C54" s="194"/>
      <c r="D54" s="194"/>
      <c r="E54" s="194"/>
      <c r="F54" s="194"/>
      <c r="G54" s="195"/>
    </row>
    <row r="55" spans="1:11">
      <c r="A55" s="6"/>
      <c r="B55" s="1"/>
      <c r="C55" s="1"/>
      <c r="D55" s="1"/>
      <c r="E55" s="1"/>
      <c r="F55" s="2"/>
      <c r="G55" s="1"/>
    </row>
    <row r="56" spans="1:11">
      <c r="A56" s="6" t="s">
        <v>63</v>
      </c>
      <c r="B56" s="1"/>
      <c r="C56" s="1"/>
      <c r="D56" s="1"/>
      <c r="E56" s="1"/>
      <c r="F56" s="1"/>
      <c r="G56" s="3"/>
    </row>
    <row r="57" spans="1:11">
      <c r="A57" s="6" t="s">
        <v>21</v>
      </c>
      <c r="B57" s="1"/>
      <c r="C57" s="1">
        <v>23.094999999999999</v>
      </c>
      <c r="D57" s="37">
        <f>B57+C57</f>
        <v>23.094999999999999</v>
      </c>
      <c r="E57" s="2">
        <v>1718</v>
      </c>
      <c r="F57" s="1">
        <v>5625</v>
      </c>
      <c r="G57" s="27">
        <f>(D57*E57)+F57</f>
        <v>45302.21</v>
      </c>
    </row>
    <row r="58" spans="1:11">
      <c r="A58" s="6" t="s">
        <v>20</v>
      </c>
      <c r="B58" s="1"/>
      <c r="C58" s="1"/>
      <c r="D58" s="1"/>
      <c r="E58" s="1"/>
      <c r="F58" s="1"/>
      <c r="G58" s="7"/>
      <c r="K58" s="40"/>
    </row>
    <row r="59" spans="1:11">
      <c r="A59" s="6"/>
      <c r="B59" s="7"/>
      <c r="C59" s="7"/>
      <c r="D59" s="7"/>
      <c r="E59" s="7"/>
      <c r="F59" s="7"/>
      <c r="G59" s="7"/>
    </row>
    <row r="60" spans="1:11" ht="15.75" thickBot="1">
      <c r="A60" s="6"/>
      <c r="B60" s="21"/>
      <c r="C60" s="23"/>
      <c r="D60" s="21"/>
      <c r="E60" s="21"/>
      <c r="F60" s="23"/>
      <c r="G60" s="22"/>
    </row>
    <row r="61" spans="1:11" ht="15.75" thickBot="1">
      <c r="A61" s="35" t="s">
        <v>275</v>
      </c>
      <c r="B61" s="34"/>
      <c r="C61" s="34"/>
      <c r="D61" s="34"/>
      <c r="E61" s="34">
        <f t="shared" ref="E61:G61" si="1">E41+E57+E49</f>
        <v>29586</v>
      </c>
      <c r="F61" s="34">
        <f t="shared" si="1"/>
        <v>73368</v>
      </c>
      <c r="G61" s="34">
        <f t="shared" si="1"/>
        <v>535435.49199999997</v>
      </c>
    </row>
    <row r="62" spans="1:11" s="41" customFormat="1" ht="15.75" thickBot="1">
      <c r="A62" s="53"/>
      <c r="B62" s="54"/>
      <c r="C62" s="54"/>
      <c r="D62" s="54"/>
      <c r="E62" s="54"/>
      <c r="F62" s="54"/>
      <c r="G62" s="54"/>
    </row>
    <row r="63" spans="1:11" s="41" customFormat="1" ht="15.75" thickBot="1">
      <c r="A63" s="53"/>
      <c r="B63" s="54"/>
      <c r="C63" s="54"/>
      <c r="D63" s="54"/>
      <c r="E63" s="54"/>
      <c r="F63" s="54"/>
      <c r="G63" s="54"/>
    </row>
    <row r="64" spans="1:11">
      <c r="A64" s="193" t="s">
        <v>270</v>
      </c>
      <c r="B64" s="194"/>
      <c r="C64" s="194"/>
      <c r="D64" s="194"/>
      <c r="E64" s="194"/>
      <c r="F64" s="194"/>
      <c r="G64" s="195"/>
      <c r="I64" s="57"/>
    </row>
    <row r="65" spans="1:7">
      <c r="A65" s="193" t="s">
        <v>289</v>
      </c>
      <c r="B65" s="194"/>
      <c r="C65" s="194"/>
      <c r="D65" s="194"/>
      <c r="E65" s="194"/>
      <c r="F65" s="194"/>
      <c r="G65" s="195"/>
    </row>
    <row r="66" spans="1:7">
      <c r="A66" s="47"/>
      <c r="B66" s="48"/>
      <c r="C66" s="48"/>
      <c r="D66" s="48"/>
      <c r="E66" s="48"/>
      <c r="F66" s="48"/>
      <c r="G66" s="49"/>
    </row>
    <row r="67" spans="1:7">
      <c r="A67" s="6" t="s">
        <v>65</v>
      </c>
      <c r="B67" s="1"/>
      <c r="C67" s="1"/>
      <c r="D67" s="1"/>
      <c r="E67" s="1"/>
      <c r="F67" s="1"/>
      <c r="G67" s="1"/>
    </row>
    <row r="68" spans="1:7">
      <c r="A68" s="6" t="s">
        <v>21</v>
      </c>
      <c r="B68" s="21"/>
      <c r="C68" s="24">
        <v>14.041</v>
      </c>
      <c r="D68" s="24">
        <f>B68+C68</f>
        <v>14.041</v>
      </c>
      <c r="E68" s="21">
        <v>27593</v>
      </c>
      <c r="F68" s="26">
        <v>48245.2</v>
      </c>
      <c r="G68" s="27">
        <f>(D68*E68)+F68</f>
        <v>435678.51300000004</v>
      </c>
    </row>
    <row r="69" spans="1:7">
      <c r="A69" s="6" t="s">
        <v>20</v>
      </c>
      <c r="B69" s="1"/>
      <c r="C69" s="2"/>
      <c r="D69" s="1"/>
      <c r="E69" s="1"/>
      <c r="F69" s="2"/>
      <c r="G69" s="1"/>
    </row>
    <row r="70" spans="1:7">
      <c r="A70" s="6"/>
      <c r="B70" s="1"/>
      <c r="C70" s="2"/>
      <c r="D70" s="1"/>
      <c r="E70" s="1"/>
      <c r="F70" s="2"/>
      <c r="G70" s="1"/>
    </row>
    <row r="71" spans="1:7">
      <c r="A71" s="30"/>
      <c r="B71" s="31"/>
      <c r="C71" s="50"/>
      <c r="D71" s="31"/>
      <c r="E71" s="31"/>
      <c r="F71" s="50"/>
      <c r="G71" s="32"/>
    </row>
    <row r="72" spans="1:7">
      <c r="A72" s="193" t="s">
        <v>272</v>
      </c>
      <c r="B72" s="194"/>
      <c r="C72" s="194"/>
      <c r="D72" s="194"/>
      <c r="E72" s="194"/>
      <c r="F72" s="194"/>
      <c r="G72" s="195"/>
    </row>
    <row r="73" spans="1:7">
      <c r="A73" s="193" t="s">
        <v>290</v>
      </c>
      <c r="B73" s="194"/>
      <c r="C73" s="194"/>
      <c r="D73" s="194"/>
      <c r="E73" s="194"/>
      <c r="F73" s="194"/>
      <c r="G73" s="195"/>
    </row>
    <row r="74" spans="1:7">
      <c r="A74" s="47"/>
      <c r="B74" s="48"/>
      <c r="C74" s="48"/>
      <c r="D74" s="48"/>
      <c r="E74" s="48"/>
      <c r="F74" s="48"/>
      <c r="G74" s="49"/>
    </row>
    <row r="75" spans="1:7">
      <c r="A75" s="6" t="s">
        <v>64</v>
      </c>
      <c r="B75" s="1"/>
      <c r="C75" s="1"/>
      <c r="D75" s="1"/>
      <c r="E75" s="1"/>
      <c r="F75" s="1"/>
      <c r="G75" s="1"/>
    </row>
    <row r="76" spans="1:7">
      <c r="A76" s="6" t="s">
        <v>22</v>
      </c>
      <c r="B76" s="21"/>
      <c r="C76" s="37">
        <v>22.414000000000001</v>
      </c>
      <c r="D76" s="37">
        <f>B76+C76</f>
        <v>22.414000000000001</v>
      </c>
      <c r="E76" s="26">
        <v>275</v>
      </c>
      <c r="F76" s="26">
        <v>526.70000000000005</v>
      </c>
      <c r="G76" s="27">
        <f>ROUND(D76*E76+F76,1)</f>
        <v>6690.6</v>
      </c>
    </row>
    <row r="77" spans="1:7">
      <c r="A77" s="6" t="s">
        <v>20</v>
      </c>
      <c r="B77" s="1"/>
      <c r="C77" s="2"/>
      <c r="D77" s="1"/>
      <c r="E77" s="1"/>
      <c r="F77" s="2"/>
      <c r="G77" s="1"/>
    </row>
    <row r="78" spans="1:7">
      <c r="A78" s="6"/>
      <c r="B78" s="1"/>
      <c r="C78" s="2"/>
      <c r="D78" s="1"/>
      <c r="E78" s="1"/>
      <c r="F78" s="2"/>
      <c r="G78" s="1"/>
    </row>
    <row r="79" spans="1:7">
      <c r="A79" s="193"/>
      <c r="B79" s="194"/>
      <c r="C79" s="194"/>
      <c r="D79" s="194"/>
      <c r="E79" s="194"/>
      <c r="F79" s="194"/>
      <c r="G79" s="195"/>
    </row>
    <row r="80" spans="1:7">
      <c r="A80" s="193" t="s">
        <v>271</v>
      </c>
      <c r="B80" s="194"/>
      <c r="C80" s="194"/>
      <c r="D80" s="194"/>
      <c r="E80" s="194"/>
      <c r="F80" s="194"/>
      <c r="G80" s="195"/>
    </row>
    <row r="81" spans="1:7">
      <c r="A81" s="193" t="s">
        <v>289</v>
      </c>
      <c r="B81" s="194"/>
      <c r="C81" s="194"/>
      <c r="D81" s="194"/>
      <c r="E81" s="194"/>
      <c r="F81" s="194"/>
      <c r="G81" s="195"/>
    </row>
    <row r="82" spans="1:7">
      <c r="A82" s="6"/>
      <c r="B82" s="1"/>
      <c r="C82" s="1"/>
      <c r="D82" s="1"/>
      <c r="E82" s="1"/>
      <c r="F82" s="2"/>
      <c r="G82" s="1"/>
    </row>
    <row r="83" spans="1:7">
      <c r="A83" s="6" t="s">
        <v>63</v>
      </c>
      <c r="B83" s="1"/>
      <c r="C83" s="1"/>
      <c r="D83" s="1"/>
      <c r="E83" s="1"/>
      <c r="F83" s="1"/>
      <c r="G83" s="3"/>
    </row>
    <row r="84" spans="1:7">
      <c r="A84" s="6" t="s">
        <v>21</v>
      </c>
      <c r="B84" s="1"/>
      <c r="C84" s="1">
        <v>21.661999999999999</v>
      </c>
      <c r="D84" s="37">
        <f>B84+C84</f>
        <v>21.661999999999999</v>
      </c>
      <c r="E84" s="2">
        <v>1718</v>
      </c>
      <c r="F84" s="1">
        <v>4005.9</v>
      </c>
      <c r="G84" s="27">
        <f>(D84*E84)+F84</f>
        <v>41221.216</v>
      </c>
    </row>
    <row r="85" spans="1:7">
      <c r="A85" s="6" t="s">
        <v>20</v>
      </c>
      <c r="B85" s="1"/>
      <c r="C85" s="1"/>
      <c r="D85" s="1"/>
      <c r="E85" s="1"/>
      <c r="F85" s="1"/>
      <c r="G85" s="7"/>
    </row>
    <row r="86" spans="1:7">
      <c r="A86" s="6"/>
      <c r="B86" s="7"/>
      <c r="C86" s="7"/>
      <c r="D86" s="7"/>
      <c r="E86" s="7"/>
      <c r="F86" s="7"/>
      <c r="G86" s="7"/>
    </row>
    <row r="87" spans="1:7" ht="15.75" thickBot="1">
      <c r="A87" s="6"/>
      <c r="B87" s="21"/>
      <c r="C87" s="23"/>
      <c r="D87" s="21"/>
      <c r="E87" s="21"/>
      <c r="F87" s="23"/>
      <c r="G87" s="22"/>
    </row>
    <row r="88" spans="1:7" ht="15.75" thickBot="1">
      <c r="A88" s="35" t="s">
        <v>276</v>
      </c>
      <c r="B88" s="34"/>
      <c r="C88" s="34"/>
      <c r="D88" s="34"/>
      <c r="E88" s="34">
        <f t="shared" ref="E88:G88" si="2">E68+E84+E76</f>
        <v>29586</v>
      </c>
      <c r="F88" s="34">
        <f t="shared" si="2"/>
        <v>52777.799999999996</v>
      </c>
      <c r="G88" s="34">
        <f t="shared" si="2"/>
        <v>483590.32900000003</v>
      </c>
    </row>
    <row r="90" spans="1:7">
      <c r="A90" s="12"/>
      <c r="B90" s="10"/>
      <c r="C90" s="10"/>
      <c r="D90" s="10"/>
      <c r="E90" s="10"/>
      <c r="F90" s="10"/>
      <c r="G90" s="10"/>
    </row>
    <row r="91" spans="1:7">
      <c r="A91" s="12"/>
      <c r="B91" s="10"/>
      <c r="C91" s="10"/>
      <c r="D91" s="10"/>
      <c r="E91" s="10"/>
      <c r="F91" s="10"/>
      <c r="G91" s="10"/>
    </row>
    <row r="92" spans="1:7">
      <c r="A92" s="10"/>
      <c r="B92" s="10"/>
      <c r="C92" s="10"/>
      <c r="D92" s="10"/>
      <c r="E92" s="10"/>
      <c r="F92" s="10"/>
      <c r="G92" s="10"/>
    </row>
    <row r="93" spans="1:7">
      <c r="A93" s="15"/>
      <c r="B93" s="16"/>
      <c r="C93" s="16"/>
      <c r="D93" s="17"/>
      <c r="E93" s="10"/>
      <c r="F93" s="10"/>
      <c r="G93" s="10"/>
    </row>
    <row r="94" spans="1:7">
      <c r="A94" s="10"/>
      <c r="B94" s="18"/>
      <c r="C94" s="18"/>
      <c r="D94" s="18"/>
      <c r="E94" s="10"/>
      <c r="F94" s="10"/>
      <c r="G94" s="10"/>
    </row>
    <row r="95" spans="1:7">
      <c r="A95" s="45"/>
      <c r="B95" s="45"/>
      <c r="C95" s="45"/>
      <c r="D95" s="45"/>
      <c r="E95" s="10"/>
      <c r="F95" s="10"/>
      <c r="G95" s="10"/>
    </row>
    <row r="96" spans="1:7">
      <c r="A96" s="196"/>
      <c r="B96" s="196"/>
      <c r="C96" s="196"/>
      <c r="D96" s="196"/>
      <c r="E96" s="10"/>
      <c r="F96" s="10"/>
      <c r="G96" s="10"/>
    </row>
    <row r="97" spans="1:7">
      <c r="A97" s="197"/>
      <c r="B97" s="197"/>
      <c r="C97" s="197"/>
      <c r="D97" s="197"/>
      <c r="E97" s="197"/>
      <c r="F97" s="197"/>
      <c r="G97" s="197"/>
    </row>
    <row r="98" spans="1:7">
      <c r="A98" s="46"/>
      <c r="B98" s="46"/>
      <c r="C98" s="46"/>
      <c r="D98" s="46"/>
      <c r="E98" s="46"/>
      <c r="F98" s="46"/>
      <c r="G98" s="46"/>
    </row>
    <row r="99" spans="1:7">
      <c r="A99" s="46"/>
      <c r="B99" s="46"/>
      <c r="C99" s="46"/>
      <c r="D99" s="46"/>
      <c r="E99" s="46"/>
      <c r="F99" s="46"/>
      <c r="G99" s="46"/>
    </row>
    <row r="100" spans="1:7">
      <c r="A100" s="10"/>
      <c r="B100" s="10"/>
      <c r="C100" s="10"/>
      <c r="D100" s="10"/>
      <c r="E100" s="10"/>
      <c r="F100" s="10"/>
      <c r="G100" s="10"/>
    </row>
    <row r="101" spans="1:7">
      <c r="A101" s="10"/>
      <c r="B101" s="10"/>
      <c r="C101" s="10"/>
      <c r="D101" s="10"/>
      <c r="E101" s="10"/>
      <c r="F101" s="10"/>
      <c r="G101" s="10"/>
    </row>
  </sheetData>
  <mergeCells count="27">
    <mergeCell ref="A3:G3"/>
    <mergeCell ref="A4:G4"/>
    <mergeCell ref="A5:G5"/>
    <mergeCell ref="A6:G6"/>
    <mergeCell ref="A10:G10"/>
    <mergeCell ref="A65:G65"/>
    <mergeCell ref="A18:G18"/>
    <mergeCell ref="A25:G25"/>
    <mergeCell ref="A37:G37"/>
    <mergeCell ref="A45:G45"/>
    <mergeCell ref="A38:G38"/>
    <mergeCell ref="A73:G73"/>
    <mergeCell ref="A96:D96"/>
    <mergeCell ref="A97:G97"/>
    <mergeCell ref="A11:G11"/>
    <mergeCell ref="A19:G19"/>
    <mergeCell ref="A26:G26"/>
    <mergeCell ref="A27:G27"/>
    <mergeCell ref="A54:G54"/>
    <mergeCell ref="A46:G46"/>
    <mergeCell ref="A52:G52"/>
    <mergeCell ref="A53:G53"/>
    <mergeCell ref="A64:G64"/>
    <mergeCell ref="A72:G72"/>
    <mergeCell ref="A79:G79"/>
    <mergeCell ref="A80:G80"/>
    <mergeCell ref="A81:G81"/>
  </mergeCells>
  <pageMargins left="0.25" right="0.25" top="0.33" bottom="0.28000000000000003" header="0.3" footer="0.3"/>
  <pageSetup paperSize="9" orientation="landscape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>
  <sheetPr>
    <tabColor rgb="FFFFFF00"/>
  </sheetPr>
  <dimension ref="A1:R30"/>
  <sheetViews>
    <sheetView topLeftCell="A4" workbookViewId="0">
      <selection activeCell="A11" sqref="A11:H11"/>
    </sheetView>
  </sheetViews>
  <sheetFormatPr defaultRowHeight="15"/>
  <cols>
    <col min="1" max="1" width="58.140625" style="25" customWidth="1"/>
    <col min="2" max="2" width="14.5703125" style="25" customWidth="1"/>
    <col min="3" max="5" width="14.85546875" style="25" customWidth="1"/>
    <col min="6" max="6" width="11.7109375" style="25" customWidth="1"/>
    <col min="7" max="7" width="14" style="25" customWidth="1"/>
    <col min="8" max="8" width="20" style="25" customWidth="1"/>
    <col min="9" max="9" width="9.140625" style="25"/>
    <col min="10" max="11" width="9.28515625" style="87" bestFit="1" customWidth="1"/>
    <col min="12" max="12" width="11.5703125" style="87" bestFit="1" customWidth="1"/>
    <col min="13" max="13" width="9.28515625" style="87" bestFit="1" customWidth="1"/>
    <col min="14" max="18" width="9.140625" style="87"/>
    <col min="19" max="16384" width="9.140625" style="25"/>
  </cols>
  <sheetData>
    <row r="1" spans="1:12">
      <c r="G1" s="25" t="s">
        <v>18</v>
      </c>
    </row>
    <row r="2" spans="1:12">
      <c r="G2" s="25" t="s">
        <v>19</v>
      </c>
    </row>
    <row r="3" spans="1:12" ht="15.75">
      <c r="A3" s="198" t="s">
        <v>17</v>
      </c>
      <c r="B3" s="198"/>
      <c r="C3" s="198"/>
      <c r="D3" s="198"/>
      <c r="E3" s="198"/>
      <c r="F3" s="198"/>
      <c r="G3" s="198"/>
      <c r="H3" s="198"/>
    </row>
    <row r="4" spans="1:12" ht="15.75">
      <c r="A4" s="198" t="s">
        <v>283</v>
      </c>
      <c r="B4" s="198"/>
      <c r="C4" s="198"/>
      <c r="D4" s="198"/>
      <c r="E4" s="198"/>
      <c r="F4" s="198"/>
      <c r="G4" s="198"/>
      <c r="H4" s="198"/>
    </row>
    <row r="5" spans="1:12" ht="15.75">
      <c r="A5" s="198" t="s">
        <v>299</v>
      </c>
      <c r="B5" s="198"/>
      <c r="C5" s="198"/>
      <c r="D5" s="198"/>
      <c r="E5" s="198"/>
      <c r="F5" s="198"/>
      <c r="G5" s="198"/>
      <c r="H5" s="198"/>
    </row>
    <row r="6" spans="1:12" ht="15.75">
      <c r="A6" s="199" t="s">
        <v>300</v>
      </c>
      <c r="B6" s="199"/>
      <c r="C6" s="199"/>
      <c r="D6" s="199"/>
      <c r="E6" s="199"/>
      <c r="F6" s="199"/>
      <c r="G6" s="199"/>
      <c r="H6" s="199"/>
    </row>
    <row r="7" spans="1:12" ht="195">
      <c r="A7" s="8" t="s">
        <v>0</v>
      </c>
      <c r="B7" s="4" t="s">
        <v>301</v>
      </c>
      <c r="C7" s="4" t="s">
        <v>302</v>
      </c>
      <c r="D7" s="5" t="s">
        <v>303</v>
      </c>
      <c r="E7" s="134" t="s">
        <v>308</v>
      </c>
      <c r="F7" s="4" t="s">
        <v>304</v>
      </c>
      <c r="G7" s="4" t="s">
        <v>305</v>
      </c>
      <c r="H7" s="4" t="s">
        <v>306</v>
      </c>
    </row>
    <row r="8" spans="1:12">
      <c r="A8" s="7"/>
      <c r="B8" s="7" t="s">
        <v>7</v>
      </c>
      <c r="C8" s="7" t="s">
        <v>7</v>
      </c>
      <c r="D8" s="7" t="s">
        <v>7</v>
      </c>
      <c r="E8" s="7" t="s">
        <v>7</v>
      </c>
      <c r="F8" s="21" t="s">
        <v>8</v>
      </c>
      <c r="G8" s="21" t="s">
        <v>9</v>
      </c>
      <c r="H8" s="21" t="s">
        <v>9</v>
      </c>
    </row>
    <row r="9" spans="1:12">
      <c r="A9" s="21">
        <v>1</v>
      </c>
      <c r="B9" s="21">
        <v>2</v>
      </c>
      <c r="C9" s="21">
        <v>3</v>
      </c>
      <c r="D9" s="21">
        <v>4</v>
      </c>
      <c r="E9" s="21">
        <v>5</v>
      </c>
      <c r="F9" s="21">
        <v>6</v>
      </c>
      <c r="G9" s="21">
        <v>7</v>
      </c>
      <c r="H9" s="21">
        <v>8</v>
      </c>
    </row>
    <row r="10" spans="1:12">
      <c r="A10" s="193" t="s">
        <v>316</v>
      </c>
      <c r="B10" s="194"/>
      <c r="C10" s="194"/>
      <c r="D10" s="194"/>
      <c r="E10" s="194"/>
      <c r="F10" s="194"/>
      <c r="G10" s="194"/>
      <c r="H10" s="195"/>
    </row>
    <row r="11" spans="1:12">
      <c r="A11" s="193" t="s">
        <v>315</v>
      </c>
      <c r="B11" s="194"/>
      <c r="C11" s="194"/>
      <c r="D11" s="194"/>
      <c r="E11" s="194"/>
      <c r="F11" s="194"/>
      <c r="G11" s="194"/>
      <c r="H11" s="195"/>
    </row>
    <row r="12" spans="1:12">
      <c r="A12" s="30" t="s">
        <v>341</v>
      </c>
      <c r="B12" s="21"/>
      <c r="C12" s="166">
        <v>16.891999999999999</v>
      </c>
      <c r="D12" s="37">
        <f>B12+C12</f>
        <v>16.891999999999999</v>
      </c>
      <c r="E12" s="168">
        <v>6.149</v>
      </c>
      <c r="F12" s="26">
        <v>20078</v>
      </c>
      <c r="G12" s="26">
        <v>4823.6000000000004</v>
      </c>
      <c r="H12" s="27">
        <f>(D12*F12)+G12</f>
        <v>343981.17599999998</v>
      </c>
      <c r="J12" s="87">
        <v>20585</v>
      </c>
      <c r="L12" s="169">
        <f>(H12-G12)/F12</f>
        <v>16.891999999999999</v>
      </c>
    </row>
    <row r="13" spans="1:12">
      <c r="A13" s="30" t="s">
        <v>342</v>
      </c>
      <c r="B13" s="7"/>
      <c r="C13" s="170">
        <v>31.407</v>
      </c>
      <c r="D13" s="37">
        <f t="shared" ref="D13:D16" si="0">B13+C13</f>
        <v>31.407</v>
      </c>
      <c r="E13" s="168">
        <v>11.287000000000001</v>
      </c>
      <c r="F13" s="21">
        <v>1034</v>
      </c>
      <c r="G13" s="21">
        <v>312.60000000000002</v>
      </c>
      <c r="H13" s="27">
        <f t="shared" ref="H13:H15" si="1">(D13*F13)+G13</f>
        <v>32787.438000000002</v>
      </c>
    </row>
    <row r="14" spans="1:12">
      <c r="A14" s="30" t="s">
        <v>343</v>
      </c>
      <c r="B14" s="7"/>
      <c r="C14" s="171">
        <v>16.91</v>
      </c>
      <c r="D14" s="37">
        <f t="shared" si="0"/>
        <v>16.91</v>
      </c>
      <c r="E14" s="171">
        <v>7.157</v>
      </c>
      <c r="F14" s="21">
        <v>6556</v>
      </c>
      <c r="G14" s="21">
        <v>1209.9000000000001</v>
      </c>
      <c r="H14" s="27">
        <f>(D14*F14)+G14-5.9</f>
        <v>112065.96</v>
      </c>
    </row>
    <row r="15" spans="1:12">
      <c r="A15" s="30" t="s">
        <v>344</v>
      </c>
      <c r="B15" s="7"/>
      <c r="C15" s="171">
        <v>18.466999999999999</v>
      </c>
      <c r="D15" s="37">
        <f t="shared" si="0"/>
        <v>18.466999999999999</v>
      </c>
      <c r="E15" s="171">
        <v>6.7030000000000003</v>
      </c>
      <c r="F15" s="21">
        <v>3077</v>
      </c>
      <c r="G15" s="21">
        <v>524.20000000000005</v>
      </c>
      <c r="H15" s="27">
        <f t="shared" si="1"/>
        <v>57347.158999999992</v>
      </c>
    </row>
    <row r="16" spans="1:12">
      <c r="A16" s="30" t="s">
        <v>345</v>
      </c>
      <c r="B16" s="7"/>
      <c r="C16" s="172">
        <v>17.541429999999998</v>
      </c>
      <c r="D16" s="172">
        <f t="shared" si="0"/>
        <v>17.541429999999998</v>
      </c>
      <c r="E16" s="173">
        <v>6.593</v>
      </c>
      <c r="F16" s="173">
        <f>F12+F13+F14+F15</f>
        <v>30745</v>
      </c>
      <c r="G16" s="173">
        <f t="shared" ref="G16" si="2">G12+G13+G14+G15</f>
        <v>6870.3</v>
      </c>
      <c r="H16" s="167">
        <f>(D16*F16)+G16+0.1</f>
        <v>546181.66535000002</v>
      </c>
    </row>
    <row r="17" spans="1:13">
      <c r="A17" s="193" t="s">
        <v>317</v>
      </c>
      <c r="B17" s="194"/>
      <c r="C17" s="194"/>
      <c r="D17" s="194"/>
      <c r="E17" s="194"/>
      <c r="F17" s="194"/>
      <c r="G17" s="194"/>
      <c r="H17" s="195"/>
    </row>
    <row r="18" spans="1:13">
      <c r="A18" s="193" t="s">
        <v>315</v>
      </c>
      <c r="B18" s="194"/>
      <c r="C18" s="194"/>
      <c r="D18" s="194"/>
      <c r="E18" s="194"/>
      <c r="F18" s="194"/>
      <c r="G18" s="194"/>
      <c r="H18" s="195"/>
    </row>
    <row r="19" spans="1:13">
      <c r="A19" s="30" t="s">
        <v>341</v>
      </c>
      <c r="B19" s="21"/>
      <c r="C19" s="166">
        <v>16.676500000000001</v>
      </c>
      <c r="D19" s="37">
        <f>B19+C19</f>
        <v>16.676500000000001</v>
      </c>
      <c r="E19" s="168">
        <v>3.9369999999999998</v>
      </c>
      <c r="F19" s="26">
        <v>20078</v>
      </c>
      <c r="G19" s="26">
        <v>3892.3</v>
      </c>
      <c r="H19" s="27">
        <f>(D19*F19)+G19+0.3</f>
        <v>338723.36699999997</v>
      </c>
      <c r="J19" s="87">
        <f>E19*F19</f>
        <v>79047.085999999996</v>
      </c>
      <c r="L19" s="87">
        <f>C19*F19</f>
        <v>334830.76699999999</v>
      </c>
    </row>
    <row r="20" spans="1:13">
      <c r="A20" s="30" t="s">
        <v>342</v>
      </c>
      <c r="B20" s="7"/>
      <c r="C20" s="170">
        <v>28.72</v>
      </c>
      <c r="D20" s="37">
        <f t="shared" ref="D20:D23" si="3">B20+C20</f>
        <v>28.72</v>
      </c>
      <c r="E20" s="171">
        <v>6.5460000000000003</v>
      </c>
      <c r="F20" s="21">
        <v>1034</v>
      </c>
      <c r="G20" s="21">
        <v>252.6</v>
      </c>
      <c r="H20" s="27">
        <f>(D20*F20)+G20+0.4</f>
        <v>29949.48</v>
      </c>
      <c r="J20" s="87">
        <f t="shared" ref="J20:J22" si="4">E20*F20</f>
        <v>6768.5640000000003</v>
      </c>
      <c r="L20" s="87">
        <f t="shared" ref="L20:L22" si="5">C20*F20</f>
        <v>29696.48</v>
      </c>
    </row>
    <row r="21" spans="1:13">
      <c r="A21" s="30" t="s">
        <v>343</v>
      </c>
      <c r="B21" s="7"/>
      <c r="C21" s="171">
        <v>16.375</v>
      </c>
      <c r="D21" s="37">
        <f t="shared" si="3"/>
        <v>16.375</v>
      </c>
      <c r="E21" s="171">
        <v>4.5890000000000004</v>
      </c>
      <c r="F21" s="21">
        <v>6556</v>
      </c>
      <c r="G21" s="21">
        <v>860</v>
      </c>
      <c r="H21" s="27">
        <f>(D21*F21)+G21+2.7</f>
        <v>108217.2</v>
      </c>
      <c r="J21" s="87">
        <f t="shared" si="4"/>
        <v>30085.484000000004</v>
      </c>
      <c r="L21" s="87">
        <f t="shared" si="5"/>
        <v>107354.5</v>
      </c>
    </row>
    <row r="22" spans="1:13">
      <c r="A22" s="30" t="s">
        <v>344</v>
      </c>
      <c r="B22" s="7"/>
      <c r="C22" s="171">
        <v>18.257999999999999</v>
      </c>
      <c r="D22" s="37">
        <f t="shared" si="3"/>
        <v>18.257999999999999</v>
      </c>
      <c r="E22" s="171">
        <v>4.1630000000000003</v>
      </c>
      <c r="F22" s="21">
        <v>3077</v>
      </c>
      <c r="G22" s="21">
        <v>423.7</v>
      </c>
      <c r="H22" s="27">
        <f>(D22*F22)+G22-0.2</f>
        <v>56603.365999999995</v>
      </c>
      <c r="J22" s="87">
        <f t="shared" si="4"/>
        <v>12809.551000000001</v>
      </c>
      <c r="L22" s="87">
        <f t="shared" si="5"/>
        <v>56179.865999999995</v>
      </c>
    </row>
    <row r="23" spans="1:13">
      <c r="A23" s="30" t="s">
        <v>345</v>
      </c>
      <c r="B23" s="7"/>
      <c r="C23" s="172">
        <v>17.175999999999998</v>
      </c>
      <c r="D23" s="172">
        <f t="shared" si="3"/>
        <v>17.175999999999998</v>
      </c>
      <c r="E23" s="173">
        <v>4.1859999999999999</v>
      </c>
      <c r="F23" s="173">
        <f>F19+F20+F21+F22</f>
        <v>30745</v>
      </c>
      <c r="G23" s="173">
        <f>G19+G20+G21+G22</f>
        <v>5428.6</v>
      </c>
      <c r="H23" s="167">
        <f>H19+H20+H21+H22</f>
        <v>533493.41299999994</v>
      </c>
      <c r="J23" s="87">
        <f>J19+J20+J22+J21</f>
        <v>128710.685</v>
      </c>
      <c r="K23" s="87">
        <f>J23/F23</f>
        <v>4.1863940478126525</v>
      </c>
      <c r="L23" s="87">
        <f>L19+L20+L22+L21</f>
        <v>528061.6129999999</v>
      </c>
      <c r="M23" s="87">
        <f>L23/F23</f>
        <v>17.175528150918844</v>
      </c>
    </row>
    <row r="24" spans="1:13">
      <c r="A24" s="193" t="s">
        <v>318</v>
      </c>
      <c r="B24" s="194"/>
      <c r="C24" s="194"/>
      <c r="D24" s="194"/>
      <c r="E24" s="194"/>
      <c r="F24" s="194"/>
      <c r="G24" s="194"/>
      <c r="H24" s="195"/>
    </row>
    <row r="25" spans="1:13">
      <c r="A25" s="193" t="s">
        <v>315</v>
      </c>
      <c r="B25" s="194"/>
      <c r="C25" s="194"/>
      <c r="D25" s="194"/>
      <c r="E25" s="194"/>
      <c r="F25" s="194"/>
      <c r="G25" s="194"/>
      <c r="H25" s="195"/>
    </row>
    <row r="26" spans="1:13">
      <c r="A26" s="30" t="s">
        <v>341</v>
      </c>
      <c r="B26" s="21"/>
      <c r="C26" s="166">
        <v>17.214729999999999</v>
      </c>
      <c r="D26" s="37">
        <f>B26+C26</f>
        <v>17.214729999999999</v>
      </c>
      <c r="E26" s="168">
        <v>1.8016000000000001</v>
      </c>
      <c r="F26" s="26">
        <v>20078</v>
      </c>
      <c r="G26" s="26">
        <v>1876.4</v>
      </c>
      <c r="H26" s="27">
        <f>(D26*F26)+G26+0.1</f>
        <v>347513.84894</v>
      </c>
      <c r="J26" s="87">
        <f>E26*F26</f>
        <v>36172.524799999999</v>
      </c>
      <c r="L26" s="87">
        <f>C26*F26</f>
        <v>345637.34894</v>
      </c>
    </row>
    <row r="27" spans="1:13">
      <c r="A27" s="30" t="s">
        <v>342</v>
      </c>
      <c r="B27" s="7"/>
      <c r="C27" s="170">
        <v>28.053999999999998</v>
      </c>
      <c r="D27" s="37">
        <f t="shared" ref="D27:D30" si="6">B27+C27</f>
        <v>28.053999999999998</v>
      </c>
      <c r="E27" s="168">
        <v>2.9049999999999998</v>
      </c>
      <c r="F27" s="21">
        <v>1034</v>
      </c>
      <c r="G27" s="21">
        <v>109.7</v>
      </c>
      <c r="H27" s="27">
        <f>(D27*F27)+G27-0.2</f>
        <v>29117.335999999999</v>
      </c>
      <c r="J27" s="87">
        <f t="shared" ref="J27:J29" si="7">E27*F27</f>
        <v>3003.77</v>
      </c>
      <c r="L27" s="87">
        <f t="shared" ref="L27:L29" si="8">C27*F27</f>
        <v>29007.835999999999</v>
      </c>
    </row>
    <row r="28" spans="1:13">
      <c r="A28" s="30" t="s">
        <v>343</v>
      </c>
      <c r="B28" s="7"/>
      <c r="C28" s="171">
        <v>16.463000000000001</v>
      </c>
      <c r="D28" s="37">
        <f t="shared" si="6"/>
        <v>16.463000000000001</v>
      </c>
      <c r="E28" s="171">
        <v>2.032</v>
      </c>
      <c r="F28" s="21">
        <v>6556</v>
      </c>
      <c r="G28" s="21">
        <v>373</v>
      </c>
      <c r="H28" s="27">
        <f>(D28*F28)+G28</f>
        <v>108304.428</v>
      </c>
      <c r="J28" s="87">
        <f t="shared" si="7"/>
        <v>13321.791999999999</v>
      </c>
      <c r="L28" s="87">
        <f t="shared" si="8"/>
        <v>107931.428</v>
      </c>
    </row>
    <row r="29" spans="1:13">
      <c r="A29" s="30" t="s">
        <v>344</v>
      </c>
      <c r="B29" s="7"/>
      <c r="C29" s="171">
        <v>18.745000000000001</v>
      </c>
      <c r="D29" s="37">
        <f t="shared" si="6"/>
        <v>18.745000000000001</v>
      </c>
      <c r="E29" s="171">
        <v>1.7869999999999999</v>
      </c>
      <c r="F29" s="21">
        <v>3077</v>
      </c>
      <c r="G29" s="21">
        <v>183.8</v>
      </c>
      <c r="H29" s="27">
        <f>(D29*F29)+G29-1</f>
        <v>57861.165000000008</v>
      </c>
      <c r="J29" s="87">
        <f t="shared" si="7"/>
        <v>5498.5990000000002</v>
      </c>
      <c r="L29" s="87">
        <f t="shared" si="8"/>
        <v>57678.365000000005</v>
      </c>
    </row>
    <row r="30" spans="1:13">
      <c r="A30" s="30" t="s">
        <v>345</v>
      </c>
      <c r="B30" s="7"/>
      <c r="C30" s="172">
        <v>17.571999999999999</v>
      </c>
      <c r="D30" s="172">
        <f t="shared" si="6"/>
        <v>17.571999999999999</v>
      </c>
      <c r="E30" s="173">
        <v>1.8859999999999999</v>
      </c>
      <c r="F30" s="173">
        <f>F26+F27+F28+F29</f>
        <v>30745</v>
      </c>
      <c r="G30" s="173">
        <f t="shared" ref="G30" si="9">G26+G27+G28+G29</f>
        <v>2542.9000000000005</v>
      </c>
      <c r="H30" s="167">
        <f>ROUND(H26+H27+H28+H29,1)</f>
        <v>542796.80000000005</v>
      </c>
      <c r="J30" s="87">
        <f>J26+J27+J29+J28</f>
        <v>57996.685799999999</v>
      </c>
      <c r="K30" s="87">
        <f>J30/F30</f>
        <v>1.8863778110261831</v>
      </c>
      <c r="L30" s="87">
        <f>L26+L27+L29+L28</f>
        <v>540254.97794000001</v>
      </c>
      <c r="M30" s="87">
        <f>L30/F30</f>
        <v>17.572124831354692</v>
      </c>
    </row>
  </sheetData>
  <mergeCells count="10">
    <mergeCell ref="A24:H24"/>
    <mergeCell ref="A25:H25"/>
    <mergeCell ref="A3:H3"/>
    <mergeCell ref="A4:H4"/>
    <mergeCell ref="A5:H5"/>
    <mergeCell ref="A6:H6"/>
    <mergeCell ref="A10:H10"/>
    <mergeCell ref="A17:H17"/>
    <mergeCell ref="A11:H11"/>
    <mergeCell ref="A18:H18"/>
  </mergeCells>
  <pageMargins left="0.5" right="0.25" top="0.72" bottom="0.32" header="0.3" footer="0.3"/>
  <pageSetup paperSize="9" scale="84" orientation="landscape" verticalDpi="0" r:id="rId1"/>
  <colBreaks count="1" manualBreakCount="1">
    <brk id="8" max="1048575" man="1"/>
  </colBreaks>
</worksheet>
</file>

<file path=xl/worksheets/sheet11.xml><?xml version="1.0" encoding="utf-8"?>
<worksheet xmlns="http://schemas.openxmlformats.org/spreadsheetml/2006/main" xmlns:r="http://schemas.openxmlformats.org/officeDocument/2006/relationships">
  <sheetPr>
    <tabColor rgb="FF00B050"/>
  </sheetPr>
  <dimension ref="A2:U43"/>
  <sheetViews>
    <sheetView tabSelected="1" view="pageBreakPreview" zoomScale="60" workbookViewId="0">
      <selection activeCell="I6" sqref="I6:I9"/>
    </sheetView>
  </sheetViews>
  <sheetFormatPr defaultRowHeight="15"/>
  <cols>
    <col min="1" max="1" width="37.85546875" style="25" customWidth="1"/>
    <col min="2" max="2" width="13.42578125" style="25" customWidth="1"/>
    <col min="3" max="4" width="14.42578125" style="25" customWidth="1"/>
    <col min="5" max="6" width="12.7109375" style="25" customWidth="1"/>
    <col min="7" max="7" width="10" style="25" customWidth="1"/>
    <col min="8" max="8" width="12.5703125" style="25" customWidth="1"/>
    <col min="9" max="10" width="14" style="25" customWidth="1"/>
    <col min="11" max="11" width="20" style="25" customWidth="1"/>
    <col min="12" max="12" width="9.140625" style="25"/>
    <col min="13" max="21" width="9.140625" style="87"/>
    <col min="22" max="16384" width="9.140625" style="25"/>
  </cols>
  <sheetData>
    <row r="2" spans="1:15">
      <c r="I2" s="230" t="s">
        <v>371</v>
      </c>
      <c r="J2" s="230"/>
      <c r="K2" s="230"/>
    </row>
    <row r="3" spans="1:15" ht="15.75">
      <c r="A3" s="198" t="s">
        <v>370</v>
      </c>
      <c r="B3" s="198"/>
      <c r="C3" s="198"/>
      <c r="D3" s="198"/>
      <c r="E3" s="198"/>
      <c r="F3" s="198"/>
      <c r="G3" s="198"/>
      <c r="H3" s="198"/>
      <c r="I3" s="198"/>
      <c r="J3" s="198"/>
      <c r="K3" s="198"/>
    </row>
    <row r="4" spans="1:15" ht="15.75">
      <c r="A4" s="198" t="s">
        <v>350</v>
      </c>
      <c r="B4" s="198"/>
      <c r="C4" s="198"/>
      <c r="D4" s="198"/>
      <c r="E4" s="198"/>
      <c r="F4" s="198"/>
      <c r="G4" s="198"/>
      <c r="H4" s="198"/>
      <c r="I4" s="198"/>
      <c r="J4" s="198"/>
      <c r="K4" s="198"/>
    </row>
    <row r="5" spans="1:15" ht="15.75">
      <c r="A5" s="199" t="s">
        <v>351</v>
      </c>
      <c r="B5" s="199"/>
      <c r="C5" s="199"/>
      <c r="D5" s="199"/>
      <c r="E5" s="199"/>
      <c r="F5" s="199"/>
      <c r="G5" s="199"/>
      <c r="H5" s="199"/>
      <c r="I5" s="199"/>
      <c r="J5" s="199"/>
      <c r="K5" s="199"/>
    </row>
    <row r="6" spans="1:15" ht="15.75" customHeight="1">
      <c r="A6" s="217" t="s">
        <v>349</v>
      </c>
      <c r="B6" s="217" t="s">
        <v>352</v>
      </c>
      <c r="C6" s="217" t="s">
        <v>353</v>
      </c>
      <c r="D6" s="218" t="s">
        <v>354</v>
      </c>
      <c r="E6" s="219" t="s">
        <v>355</v>
      </c>
      <c r="F6" s="219"/>
      <c r="G6" s="219"/>
      <c r="H6" s="219"/>
      <c r="I6" s="220" t="s">
        <v>356</v>
      </c>
      <c r="J6" s="223" t="s">
        <v>357</v>
      </c>
      <c r="K6" s="223" t="s">
        <v>358</v>
      </c>
    </row>
    <row r="7" spans="1:15" ht="79.5" customHeight="1">
      <c r="A7" s="217"/>
      <c r="B7" s="217"/>
      <c r="C7" s="217"/>
      <c r="D7" s="218"/>
      <c r="E7" s="217" t="s">
        <v>359</v>
      </c>
      <c r="F7" s="217"/>
      <c r="G7" s="217" t="s">
        <v>360</v>
      </c>
      <c r="H7" s="217"/>
      <c r="I7" s="221"/>
      <c r="J7" s="224"/>
      <c r="K7" s="224"/>
      <c r="N7" s="16"/>
    </row>
    <row r="8" spans="1:15" ht="24" customHeight="1">
      <c r="A8" s="217"/>
      <c r="B8" s="217"/>
      <c r="C8" s="217"/>
      <c r="D8" s="218"/>
      <c r="E8" s="214" t="s">
        <v>361</v>
      </c>
      <c r="F8" s="8" t="s">
        <v>366</v>
      </c>
      <c r="G8" s="214" t="s">
        <v>361</v>
      </c>
      <c r="H8" s="191" t="s">
        <v>367</v>
      </c>
      <c r="I8" s="221"/>
      <c r="J8" s="224"/>
      <c r="K8" s="224"/>
      <c r="N8" s="16"/>
    </row>
    <row r="9" spans="1:15" ht="75">
      <c r="A9" s="217"/>
      <c r="B9" s="217"/>
      <c r="C9" s="217"/>
      <c r="D9" s="218"/>
      <c r="E9" s="215"/>
      <c r="F9" s="8" t="s">
        <v>368</v>
      </c>
      <c r="G9" s="215"/>
      <c r="H9" s="8" t="s">
        <v>369</v>
      </c>
      <c r="I9" s="222"/>
      <c r="J9" s="225"/>
      <c r="K9" s="225"/>
    </row>
    <row r="10" spans="1:15">
      <c r="A10" s="193" t="s">
        <v>315</v>
      </c>
      <c r="B10" s="194"/>
      <c r="C10" s="194"/>
      <c r="D10" s="194"/>
      <c r="E10" s="194"/>
      <c r="F10" s="194"/>
      <c r="G10" s="194"/>
      <c r="H10" s="194"/>
      <c r="I10" s="194"/>
      <c r="J10" s="194"/>
      <c r="K10" s="195"/>
    </row>
    <row r="11" spans="1:15" ht="60">
      <c r="A11" s="6" t="s">
        <v>341</v>
      </c>
      <c r="B11" s="83" t="s">
        <v>362</v>
      </c>
      <c r="C11" s="26">
        <v>20078</v>
      </c>
      <c r="D11" s="189">
        <f>E11+G11</f>
        <v>16.891999999999999</v>
      </c>
      <c r="E11" s="21">
        <v>0</v>
      </c>
      <c r="F11" s="21">
        <v>0</v>
      </c>
      <c r="G11" s="189">
        <v>16.891999999999999</v>
      </c>
      <c r="H11" s="21">
        <v>6.149</v>
      </c>
      <c r="I11" s="189">
        <f>ROUND(C11*D11,1)</f>
        <v>339157.6</v>
      </c>
      <c r="J11" s="26">
        <v>4823.6000000000004</v>
      </c>
      <c r="K11" s="189">
        <f>I11+J11</f>
        <v>343981.19999999995</v>
      </c>
    </row>
    <row r="12" spans="1:15" ht="60">
      <c r="A12" s="6" t="s">
        <v>342</v>
      </c>
      <c r="B12" s="83" t="s">
        <v>362</v>
      </c>
      <c r="C12" s="21">
        <v>1034</v>
      </c>
      <c r="D12" s="189">
        <f t="shared" ref="D12:D14" si="0">E12+G12</f>
        <v>31.407</v>
      </c>
      <c r="E12" s="21">
        <v>0</v>
      </c>
      <c r="F12" s="21">
        <v>0</v>
      </c>
      <c r="G12" s="189">
        <v>31.407</v>
      </c>
      <c r="H12" s="21">
        <v>11.287000000000001</v>
      </c>
      <c r="I12" s="189">
        <f t="shared" ref="I12:I14" si="1">ROUND(C12*D12,1)</f>
        <v>32474.799999999999</v>
      </c>
      <c r="J12" s="21">
        <v>312.60000000000002</v>
      </c>
      <c r="K12" s="189">
        <f t="shared" ref="K12:K14" si="2">I12+J12</f>
        <v>32787.4</v>
      </c>
    </row>
    <row r="13" spans="1:15" ht="60">
      <c r="A13" s="6" t="s">
        <v>343</v>
      </c>
      <c r="B13" s="83" t="s">
        <v>362</v>
      </c>
      <c r="C13" s="21">
        <v>6556</v>
      </c>
      <c r="D13" s="189">
        <f t="shared" si="0"/>
        <v>16.91</v>
      </c>
      <c r="E13" s="21">
        <v>0</v>
      </c>
      <c r="F13" s="21">
        <v>0</v>
      </c>
      <c r="G13" s="182">
        <v>16.91</v>
      </c>
      <c r="H13" s="24">
        <v>7.157</v>
      </c>
      <c r="I13" s="189">
        <f t="shared" si="1"/>
        <v>110862</v>
      </c>
      <c r="J13" s="21">
        <v>1209.9000000000001</v>
      </c>
      <c r="K13" s="189">
        <f>I13+J13-5.9</f>
        <v>112066</v>
      </c>
      <c r="N13" s="183"/>
      <c r="O13" s="84"/>
    </row>
    <row r="14" spans="1:15" ht="60.75" thickBot="1">
      <c r="A14" s="30" t="s">
        <v>344</v>
      </c>
      <c r="B14" s="184" t="s">
        <v>362</v>
      </c>
      <c r="C14" s="21">
        <v>3077</v>
      </c>
      <c r="D14" s="189">
        <f t="shared" si="0"/>
        <v>18.466999999999999</v>
      </c>
      <c r="E14" s="21">
        <v>0</v>
      </c>
      <c r="F14" s="21">
        <v>0</v>
      </c>
      <c r="G14" s="185">
        <v>18.466999999999999</v>
      </c>
      <c r="H14" s="33">
        <v>6.7030000000000003</v>
      </c>
      <c r="I14" s="189">
        <f t="shared" si="1"/>
        <v>56823</v>
      </c>
      <c r="J14" s="21">
        <v>524.20000000000005</v>
      </c>
      <c r="K14" s="189">
        <f t="shared" si="2"/>
        <v>57347.199999999997</v>
      </c>
      <c r="N14" s="18"/>
      <c r="O14" s="84"/>
    </row>
    <row r="15" spans="1:15" ht="15.75" thickBot="1">
      <c r="A15" s="35" t="s">
        <v>363</v>
      </c>
      <c r="B15" s="186"/>
      <c r="C15" s="186">
        <f>C13+C14+C12+C11</f>
        <v>30745</v>
      </c>
      <c r="D15" s="186">
        <v>17.541</v>
      </c>
      <c r="E15" s="187">
        <v>0</v>
      </c>
      <c r="F15" s="187">
        <v>0</v>
      </c>
      <c r="G15" s="187">
        <v>17.541</v>
      </c>
      <c r="H15" s="190">
        <v>6.593</v>
      </c>
      <c r="I15" s="187">
        <f>I13+I14+I12+I11</f>
        <v>539317.39999999991</v>
      </c>
      <c r="J15" s="187">
        <f>J13+J14+J12+J11</f>
        <v>6870.3000000000011</v>
      </c>
      <c r="K15" s="187">
        <f>K13+K14+K12+K11</f>
        <v>546181.79999999993</v>
      </c>
      <c r="M15" s="57"/>
      <c r="O15" s="84"/>
    </row>
    <row r="16" spans="1:15">
      <c r="A16" s="193" t="s">
        <v>364</v>
      </c>
      <c r="B16" s="194"/>
      <c r="C16" s="194"/>
      <c r="D16" s="194"/>
      <c r="E16" s="194"/>
      <c r="F16" s="194"/>
      <c r="G16" s="194"/>
      <c r="H16" s="194"/>
      <c r="I16" s="194"/>
      <c r="J16" s="194"/>
      <c r="K16" s="195"/>
    </row>
    <row r="17" spans="1:11">
      <c r="A17" s="193" t="s">
        <v>315</v>
      </c>
      <c r="B17" s="194"/>
      <c r="C17" s="194"/>
      <c r="D17" s="194"/>
      <c r="E17" s="194"/>
      <c r="F17" s="194"/>
      <c r="G17" s="194"/>
      <c r="H17" s="194"/>
      <c r="I17" s="194"/>
      <c r="J17" s="194"/>
      <c r="K17" s="195"/>
    </row>
    <row r="18" spans="1:11" ht="60">
      <c r="A18" s="6" t="s">
        <v>341</v>
      </c>
      <c r="B18" s="83" t="s">
        <v>362</v>
      </c>
      <c r="C18" s="26">
        <v>20078</v>
      </c>
      <c r="D18" s="182">
        <f>E18+G18</f>
        <v>16.676500000000001</v>
      </c>
      <c r="E18" s="21">
        <v>0</v>
      </c>
      <c r="F18" s="21">
        <v>0</v>
      </c>
      <c r="G18" s="182">
        <v>16.676500000000001</v>
      </c>
      <c r="H18" s="21">
        <v>3.9369999999999998</v>
      </c>
      <c r="I18" s="189">
        <f>ROUND(C18*D18,1)</f>
        <v>334830.8</v>
      </c>
      <c r="J18" s="26">
        <v>3892.3</v>
      </c>
      <c r="K18" s="189">
        <f>I18+J18+0.3</f>
        <v>338723.39999999997</v>
      </c>
    </row>
    <row r="19" spans="1:11" ht="60">
      <c r="A19" s="6" t="s">
        <v>342</v>
      </c>
      <c r="B19" s="83" t="s">
        <v>362</v>
      </c>
      <c r="C19" s="21">
        <v>1034</v>
      </c>
      <c r="D19" s="189">
        <f t="shared" ref="D19:D21" si="3">E19+G19</f>
        <v>28.72</v>
      </c>
      <c r="E19" s="21">
        <v>0</v>
      </c>
      <c r="F19" s="21">
        <v>0</v>
      </c>
      <c r="G19" s="182">
        <v>28.72</v>
      </c>
      <c r="H19" s="21">
        <v>6.5460000000000003</v>
      </c>
      <c r="I19" s="189">
        <f t="shared" ref="I19:I21" si="4">ROUND(C19*D19,1)</f>
        <v>29696.5</v>
      </c>
      <c r="J19" s="21">
        <v>252.6</v>
      </c>
      <c r="K19" s="189">
        <f>I19+J19+0.4</f>
        <v>29949.5</v>
      </c>
    </row>
    <row r="20" spans="1:11" ht="60">
      <c r="A20" s="6" t="s">
        <v>343</v>
      </c>
      <c r="B20" s="83" t="s">
        <v>362</v>
      </c>
      <c r="C20" s="21">
        <v>6556</v>
      </c>
      <c r="D20" s="189">
        <f t="shared" si="3"/>
        <v>16.375</v>
      </c>
      <c r="E20" s="21">
        <v>0</v>
      </c>
      <c r="F20" s="21">
        <v>0</v>
      </c>
      <c r="G20" s="182">
        <v>16.375</v>
      </c>
      <c r="H20" s="24">
        <v>4.5890000000000004</v>
      </c>
      <c r="I20" s="189">
        <f t="shared" si="4"/>
        <v>107354.5</v>
      </c>
      <c r="J20" s="21">
        <v>860</v>
      </c>
      <c r="K20" s="189">
        <f>I20+J20+2.7</f>
        <v>108217.2</v>
      </c>
    </row>
    <row r="21" spans="1:11" ht="60.75" thickBot="1">
      <c r="A21" s="30" t="s">
        <v>344</v>
      </c>
      <c r="B21" s="184" t="s">
        <v>362</v>
      </c>
      <c r="C21" s="21">
        <v>3077</v>
      </c>
      <c r="D21" s="189">
        <f t="shared" si="3"/>
        <v>18.257999999999999</v>
      </c>
      <c r="E21" s="21">
        <v>0</v>
      </c>
      <c r="F21" s="21">
        <v>0</v>
      </c>
      <c r="G21" s="185">
        <v>18.257999999999999</v>
      </c>
      <c r="H21" s="33">
        <v>4.1630000000000003</v>
      </c>
      <c r="I21" s="189">
        <f t="shared" si="4"/>
        <v>56179.9</v>
      </c>
      <c r="J21" s="21">
        <v>423.7</v>
      </c>
      <c r="K21" s="189">
        <f>I21+J21-0.2</f>
        <v>56603.4</v>
      </c>
    </row>
    <row r="22" spans="1:11" ht="15.75" thickBot="1">
      <c r="A22" s="35" t="s">
        <v>363</v>
      </c>
      <c r="B22" s="186"/>
      <c r="C22" s="186">
        <f>C20+C21+C19+C18</f>
        <v>30745</v>
      </c>
      <c r="D22" s="186">
        <v>17.541</v>
      </c>
      <c r="E22" s="187">
        <v>0</v>
      </c>
      <c r="F22" s="187">
        <v>0</v>
      </c>
      <c r="G22" s="190">
        <v>17.175999999999998</v>
      </c>
      <c r="H22" s="190">
        <v>4.1859999999999999</v>
      </c>
      <c r="I22" s="187">
        <f>I20+I21+I19+I18</f>
        <v>528061.69999999995</v>
      </c>
      <c r="J22" s="187">
        <f>J20+J21+J19+J18</f>
        <v>5428.6</v>
      </c>
      <c r="K22" s="187">
        <f>K20+K21+K19+K18</f>
        <v>533493.5</v>
      </c>
    </row>
    <row r="23" spans="1:11">
      <c r="A23" s="193" t="s">
        <v>365</v>
      </c>
      <c r="B23" s="194"/>
      <c r="C23" s="194"/>
      <c r="D23" s="194"/>
      <c r="E23" s="194"/>
      <c r="F23" s="194"/>
      <c r="G23" s="194"/>
      <c r="H23" s="194"/>
      <c r="I23" s="194"/>
      <c r="J23" s="194"/>
      <c r="K23" s="195"/>
    </row>
    <row r="24" spans="1:11">
      <c r="A24" s="193" t="s">
        <v>315</v>
      </c>
      <c r="B24" s="194"/>
      <c r="C24" s="194"/>
      <c r="D24" s="194"/>
      <c r="E24" s="194"/>
      <c r="F24" s="194"/>
      <c r="G24" s="194"/>
      <c r="H24" s="194"/>
      <c r="I24" s="194"/>
      <c r="J24" s="194"/>
      <c r="K24" s="195"/>
    </row>
    <row r="25" spans="1:11" ht="60">
      <c r="A25" s="6" t="s">
        <v>341</v>
      </c>
      <c r="B25" s="83" t="s">
        <v>362</v>
      </c>
      <c r="C25" s="26">
        <v>20078</v>
      </c>
      <c r="D25" s="192">
        <v>17.214729999999999</v>
      </c>
      <c r="E25" s="21">
        <v>0</v>
      </c>
      <c r="F25" s="21">
        <v>0</v>
      </c>
      <c r="G25" s="192">
        <v>17.214729999999999</v>
      </c>
      <c r="H25" s="168">
        <v>1.8016000000000001</v>
      </c>
      <c r="I25" s="189">
        <f>ROUND(C25*D25,1)</f>
        <v>345637.3</v>
      </c>
      <c r="J25" s="26">
        <v>1876.4</v>
      </c>
      <c r="K25" s="189">
        <f>I25+J25+0.1</f>
        <v>347513.8</v>
      </c>
    </row>
    <row r="26" spans="1:11" ht="60">
      <c r="A26" s="6" t="s">
        <v>342</v>
      </c>
      <c r="B26" s="83" t="s">
        <v>362</v>
      </c>
      <c r="C26" s="21">
        <v>1034</v>
      </c>
      <c r="D26" s="175">
        <v>28.053999999999998</v>
      </c>
      <c r="E26" s="21">
        <v>0</v>
      </c>
      <c r="F26" s="21">
        <v>0</v>
      </c>
      <c r="G26" s="175">
        <v>28.053999999999998</v>
      </c>
      <c r="H26" s="168">
        <v>2.9049999999999998</v>
      </c>
      <c r="I26" s="189">
        <f t="shared" ref="I26:I28" si="5">ROUND(C26*D26,1)</f>
        <v>29007.8</v>
      </c>
      <c r="J26" s="21">
        <v>109.7</v>
      </c>
      <c r="K26" s="189">
        <f>I26+J26-0.2</f>
        <v>29117.3</v>
      </c>
    </row>
    <row r="27" spans="1:11" ht="60">
      <c r="A27" s="6" t="s">
        <v>343</v>
      </c>
      <c r="B27" s="83" t="s">
        <v>362</v>
      </c>
      <c r="C27" s="21">
        <v>6556</v>
      </c>
      <c r="D27" s="174">
        <v>16.463000000000001</v>
      </c>
      <c r="E27" s="21">
        <v>0</v>
      </c>
      <c r="F27" s="21">
        <v>0</v>
      </c>
      <c r="G27" s="189">
        <v>16.463000000000001</v>
      </c>
      <c r="H27" s="21">
        <v>2.032</v>
      </c>
      <c r="I27" s="189">
        <f t="shared" si="5"/>
        <v>107931.4</v>
      </c>
      <c r="J27" s="21">
        <v>373</v>
      </c>
      <c r="K27" s="189">
        <f t="shared" ref="K27:K28" si="6">I27+J27</f>
        <v>108304.4</v>
      </c>
    </row>
    <row r="28" spans="1:11" ht="60.75" thickBot="1">
      <c r="A28" s="30" t="s">
        <v>344</v>
      </c>
      <c r="B28" s="184" t="s">
        <v>362</v>
      </c>
      <c r="C28" s="21">
        <v>3077</v>
      </c>
      <c r="D28" s="174">
        <v>18.745000000000001</v>
      </c>
      <c r="E28" s="21">
        <v>0</v>
      </c>
      <c r="F28" s="21">
        <v>0</v>
      </c>
      <c r="G28" s="189">
        <v>18.745000000000001</v>
      </c>
      <c r="H28" s="21">
        <v>1.7869999999999999</v>
      </c>
      <c r="I28" s="189">
        <f t="shared" si="5"/>
        <v>57678.400000000001</v>
      </c>
      <c r="J28" s="21">
        <v>183.8</v>
      </c>
      <c r="K28" s="189">
        <f t="shared" si="6"/>
        <v>57862.200000000004</v>
      </c>
    </row>
    <row r="29" spans="1:11" ht="15.75" thickBot="1">
      <c r="A29" s="35" t="s">
        <v>363</v>
      </c>
      <c r="B29" s="186"/>
      <c r="C29" s="186">
        <f>C27+C28+C26+C25</f>
        <v>30745</v>
      </c>
      <c r="D29" s="172">
        <v>17.571999999999999</v>
      </c>
      <c r="E29" s="187">
        <v>0</v>
      </c>
      <c r="F29" s="187">
        <v>0</v>
      </c>
      <c r="G29" s="172">
        <v>17.571999999999999</v>
      </c>
      <c r="H29" s="173">
        <v>1.8859999999999999</v>
      </c>
      <c r="I29" s="187">
        <f>I27+I28+I26+I25</f>
        <v>540254.89999999991</v>
      </c>
      <c r="J29" s="187">
        <f>J27+J28+J26+J25</f>
        <v>2542.9</v>
      </c>
      <c r="K29" s="187">
        <f>K27+K28+K26+K25</f>
        <v>542797.69999999995</v>
      </c>
    </row>
    <row r="30" spans="1:11">
      <c r="A30" s="6"/>
      <c r="B30" s="6"/>
      <c r="C30" s="6"/>
      <c r="D30" s="6"/>
      <c r="E30" s="7"/>
      <c r="F30" s="7"/>
      <c r="G30" s="21"/>
      <c r="H30" s="21"/>
      <c r="I30" s="21"/>
      <c r="J30" s="21"/>
      <c r="K30" s="7"/>
    </row>
    <row r="32" spans="1:11">
      <c r="A32" s="80" t="s">
        <v>324</v>
      </c>
      <c r="B32" s="12"/>
      <c r="C32" s="12"/>
      <c r="D32" s="12"/>
      <c r="E32" s="18"/>
      <c r="F32" s="18"/>
      <c r="G32" s="18"/>
      <c r="H32" s="18"/>
      <c r="I32" s="18"/>
      <c r="J32" s="18"/>
      <c r="K32" s="18"/>
    </row>
    <row r="33" spans="1:11">
      <c r="A33" s="80"/>
      <c r="B33" s="12"/>
      <c r="C33" s="12"/>
      <c r="D33" s="12"/>
      <c r="E33" s="18"/>
      <c r="F33" s="18"/>
      <c r="G33" s="18"/>
      <c r="H33" s="18"/>
      <c r="I33" s="18"/>
      <c r="J33" s="18"/>
      <c r="K33" s="18"/>
    </row>
    <row r="34" spans="1:11">
      <c r="A34" s="18"/>
      <c r="B34" s="18"/>
      <c r="C34" s="18"/>
      <c r="D34" s="18"/>
      <c r="E34" s="18"/>
      <c r="F34" s="18"/>
      <c r="G34" s="18"/>
      <c r="H34" s="18"/>
      <c r="I34" s="18"/>
      <c r="J34" s="18"/>
      <c r="K34" s="18"/>
    </row>
    <row r="35" spans="1:11">
      <c r="A35" s="15"/>
      <c r="B35" s="15"/>
      <c r="C35" s="15"/>
      <c r="D35" s="15"/>
      <c r="E35" s="16"/>
      <c r="F35" s="16"/>
      <c r="G35" s="16"/>
      <c r="H35" s="16"/>
      <c r="I35" s="18"/>
      <c r="J35" s="18"/>
      <c r="K35" s="18"/>
    </row>
    <row r="36" spans="1:11">
      <c r="A36" s="18"/>
      <c r="B36" s="18"/>
      <c r="C36" s="18"/>
      <c r="D36" s="18"/>
      <c r="E36" s="18"/>
      <c r="F36" s="18"/>
      <c r="G36" s="18"/>
      <c r="H36" s="18"/>
      <c r="I36" s="18"/>
      <c r="J36" s="18"/>
      <c r="K36" s="18"/>
    </row>
    <row r="37" spans="1:11">
      <c r="A37" s="188"/>
      <c r="B37" s="188"/>
      <c r="C37" s="188"/>
      <c r="D37" s="188"/>
      <c r="E37" s="188"/>
      <c r="F37" s="188"/>
      <c r="G37" s="188"/>
      <c r="H37" s="188"/>
      <c r="I37" s="18"/>
      <c r="J37" s="18"/>
      <c r="K37" s="18"/>
    </row>
    <row r="38" spans="1:11">
      <c r="A38" s="216"/>
      <c r="B38" s="216"/>
      <c r="C38" s="216"/>
      <c r="D38" s="216"/>
      <c r="E38" s="216"/>
      <c r="F38" s="216"/>
      <c r="G38" s="216"/>
      <c r="H38" s="216"/>
      <c r="I38" s="18"/>
      <c r="J38" s="18"/>
      <c r="K38" s="18"/>
    </row>
    <row r="39" spans="1:11">
      <c r="A39" s="197"/>
      <c r="B39" s="197"/>
      <c r="C39" s="197"/>
      <c r="D39" s="197"/>
      <c r="E39" s="197"/>
      <c r="F39" s="197"/>
      <c r="G39" s="197"/>
      <c r="H39" s="197"/>
      <c r="I39" s="197"/>
      <c r="J39" s="197"/>
      <c r="K39" s="197"/>
    </row>
    <row r="40" spans="1:11">
      <c r="A40" s="176"/>
      <c r="B40" s="176"/>
      <c r="C40" s="176"/>
      <c r="D40" s="176"/>
      <c r="E40" s="176"/>
      <c r="F40" s="176"/>
      <c r="G40" s="176"/>
      <c r="H40" s="176"/>
      <c r="I40" s="176"/>
      <c r="J40" s="176"/>
      <c r="K40" s="176"/>
    </row>
    <row r="41" spans="1:11">
      <c r="A41" s="176"/>
      <c r="B41" s="176"/>
      <c r="C41" s="176"/>
      <c r="D41" s="176"/>
      <c r="E41" s="176"/>
      <c r="F41" s="176"/>
      <c r="G41" s="176"/>
      <c r="H41" s="176"/>
      <c r="I41" s="176"/>
      <c r="J41" s="176"/>
      <c r="K41" s="176"/>
    </row>
    <row r="42" spans="1:11">
      <c r="A42" s="18"/>
      <c r="B42" s="18"/>
      <c r="C42" s="18"/>
      <c r="D42" s="18"/>
      <c r="E42" s="18"/>
      <c r="F42" s="18"/>
      <c r="G42" s="18"/>
      <c r="H42" s="18"/>
      <c r="I42" s="18"/>
      <c r="J42" s="18"/>
      <c r="K42" s="18"/>
    </row>
    <row r="43" spans="1:11">
      <c r="A43" s="18"/>
      <c r="B43" s="18"/>
      <c r="C43" s="18"/>
      <c r="D43" s="18"/>
      <c r="E43" s="18"/>
      <c r="F43" s="18"/>
      <c r="G43" s="18"/>
      <c r="H43" s="18"/>
      <c r="I43" s="18"/>
      <c r="J43" s="18"/>
      <c r="K43" s="18"/>
    </row>
  </sheetData>
  <mergeCells count="23">
    <mergeCell ref="I2:K2"/>
    <mergeCell ref="A3:K3"/>
    <mergeCell ref="A4:K4"/>
    <mergeCell ref="A5:K5"/>
    <mergeCell ref="A38:H38"/>
    <mergeCell ref="A39:K39"/>
    <mergeCell ref="A6:A9"/>
    <mergeCell ref="B6:B9"/>
    <mergeCell ref="C6:C9"/>
    <mergeCell ref="D6:D9"/>
    <mergeCell ref="E6:H6"/>
    <mergeCell ref="I6:I9"/>
    <mergeCell ref="E7:F7"/>
    <mergeCell ref="J6:J9"/>
    <mergeCell ref="K6:K9"/>
    <mergeCell ref="G7:H7"/>
    <mergeCell ref="E8:E9"/>
    <mergeCell ref="G8:G9"/>
    <mergeCell ref="A10:K10"/>
    <mergeCell ref="A17:K17"/>
    <mergeCell ref="A24:K24"/>
    <mergeCell ref="A16:K16"/>
    <mergeCell ref="A23:K23"/>
  </mergeCells>
  <pageMargins left="0.25" right="0.25" top="0.75" bottom="0.75" header="0.3" footer="0.3"/>
  <pageSetup paperSize="9" scale="81" orientation="landscape" r:id="rId1"/>
  <rowBreaks count="1" manualBreakCount="1">
    <brk id="15" max="10" man="1"/>
  </rowBreaks>
</worksheet>
</file>

<file path=xl/worksheets/sheet12.xml><?xml version="1.0" encoding="utf-8"?>
<worksheet xmlns="http://schemas.openxmlformats.org/spreadsheetml/2006/main" xmlns:r="http://schemas.openxmlformats.org/officeDocument/2006/relationships">
  <sheetPr filterMode="1"/>
  <dimension ref="A1:BW177"/>
  <sheetViews>
    <sheetView topLeftCell="A153" workbookViewId="0">
      <selection activeCell="P177" sqref="P177"/>
    </sheetView>
  </sheetViews>
  <sheetFormatPr defaultRowHeight="15"/>
  <cols>
    <col min="1" max="1" width="15" style="25" customWidth="1"/>
    <col min="2" max="2" width="11.7109375" style="25" customWidth="1"/>
    <col min="3" max="3" width="10.85546875" style="25" customWidth="1"/>
    <col min="4" max="4" width="9.7109375" style="25" customWidth="1"/>
    <col min="5" max="5" width="11" style="25" customWidth="1"/>
    <col min="6" max="6" width="9.85546875" style="25" customWidth="1"/>
    <col min="7" max="7" width="10.140625" style="25" bestFit="1" customWidth="1"/>
    <col min="8" max="8" width="9.7109375" style="25" bestFit="1" customWidth="1"/>
    <col min="9" max="9" width="9.42578125" style="25" customWidth="1"/>
    <col min="10" max="10" width="11.28515625" style="25" bestFit="1" customWidth="1"/>
    <col min="11" max="11" width="10.28515625" style="25" bestFit="1" customWidth="1"/>
    <col min="12" max="12" width="11.28515625" style="25" bestFit="1" customWidth="1"/>
    <col min="13" max="13" width="10.140625" style="25" bestFit="1" customWidth="1"/>
    <col min="14" max="14" width="11.140625" style="87" customWidth="1"/>
    <col min="15" max="15" width="10" style="25" customWidth="1"/>
    <col min="16" max="16" width="16" style="25" customWidth="1"/>
    <col min="17" max="17" width="14.140625" style="25" bestFit="1" customWidth="1"/>
    <col min="18" max="18" width="12.85546875" style="25" customWidth="1"/>
    <col min="19" max="19" width="16.5703125" style="127" customWidth="1"/>
    <col min="20" max="20" width="10.42578125" style="25" customWidth="1"/>
    <col min="21" max="21" width="10.42578125" style="80" bestFit="1" customWidth="1"/>
    <col min="22" max="23" width="9.42578125" style="80" bestFit="1" customWidth="1"/>
    <col min="24" max="25" width="9.140625" style="80"/>
    <col min="26" max="75" width="9.140625" style="87"/>
    <col min="76" max="16384" width="9.140625" style="25"/>
  </cols>
  <sheetData>
    <row r="1" spans="1:75">
      <c r="A1" s="207" t="s">
        <v>273</v>
      </c>
      <c r="B1" s="207"/>
      <c r="C1" s="78"/>
      <c r="D1" s="78"/>
      <c r="E1" s="79"/>
      <c r="F1" s="79"/>
      <c r="G1" s="79"/>
      <c r="H1" s="78"/>
      <c r="I1" s="78"/>
      <c r="J1" s="78"/>
      <c r="K1" s="78"/>
      <c r="L1" s="78"/>
      <c r="M1" s="78"/>
      <c r="N1" s="130"/>
    </row>
    <row r="2" spans="1:75" ht="104.25" hidden="1" customHeight="1">
      <c r="A2" s="8" t="s">
        <v>11</v>
      </c>
      <c r="B2" s="81" t="s">
        <v>260</v>
      </c>
      <c r="C2" s="71">
        <v>211</v>
      </c>
      <c r="D2" s="71">
        <v>213</v>
      </c>
      <c r="E2" s="153" t="s">
        <v>13</v>
      </c>
      <c r="F2" s="153" t="s">
        <v>267</v>
      </c>
      <c r="G2" s="153" t="s">
        <v>12</v>
      </c>
      <c r="H2" s="153" t="s">
        <v>14</v>
      </c>
      <c r="I2" s="153" t="s">
        <v>269</v>
      </c>
      <c r="J2" s="71" t="s">
        <v>15</v>
      </c>
      <c r="K2" s="73" t="s">
        <v>261</v>
      </c>
      <c r="L2" s="82" t="s">
        <v>296</v>
      </c>
      <c r="M2" s="139" t="s">
        <v>310</v>
      </c>
      <c r="N2" s="135" t="s">
        <v>297</v>
      </c>
      <c r="O2" s="136" t="s">
        <v>298</v>
      </c>
      <c r="P2" s="137" t="s">
        <v>312</v>
      </c>
      <c r="Q2" s="148" t="s">
        <v>307</v>
      </c>
      <c r="R2" s="149" t="s">
        <v>309</v>
      </c>
      <c r="S2" s="8" t="s">
        <v>313</v>
      </c>
      <c r="T2" s="43" t="s">
        <v>293</v>
      </c>
      <c r="U2" s="75"/>
      <c r="V2" s="76"/>
      <c r="W2" s="76"/>
    </row>
    <row r="3" spans="1:75" ht="15.75" hidden="1">
      <c r="A3" s="211" t="s">
        <v>265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3"/>
      <c r="U3" s="85"/>
      <c r="V3" s="85"/>
    </row>
    <row r="4" spans="1:75" ht="18.75" hidden="1">
      <c r="A4" s="7" t="s">
        <v>66</v>
      </c>
      <c r="B4" s="89">
        <v>155</v>
      </c>
      <c r="C4" s="51">
        <v>741</v>
      </c>
      <c r="D4" s="51">
        <v>164.1</v>
      </c>
      <c r="E4" s="63">
        <v>203</v>
      </c>
      <c r="F4" s="63">
        <v>771.6</v>
      </c>
      <c r="G4" s="63">
        <v>78.7</v>
      </c>
      <c r="H4" s="64"/>
      <c r="I4" s="64"/>
      <c r="J4" s="42">
        <v>154</v>
      </c>
      <c r="K4" s="42">
        <f>665.4+51.6</f>
        <v>717</v>
      </c>
      <c r="L4" s="123">
        <f>ROUND(C4+D4+H4+J4+K4+F4+G4+E4,1)</f>
        <v>2829.4</v>
      </c>
      <c r="M4" s="42">
        <v>30.7</v>
      </c>
      <c r="N4" s="138">
        <f>E4+F4+G4+H4+I4</f>
        <v>1053.3</v>
      </c>
      <c r="O4" s="125">
        <v>99.3</v>
      </c>
      <c r="P4" s="109">
        <f>N4+O4</f>
        <v>1152.5999999999999</v>
      </c>
      <c r="Q4" s="39">
        <f t="shared" ref="Q4:Q68" si="0">ROUND(L4/B4,3)</f>
        <v>18.254000000000001</v>
      </c>
      <c r="R4" s="39">
        <f t="shared" ref="R4:R68" si="1">P4/B4</f>
        <v>7.436129032258064</v>
      </c>
      <c r="S4" s="128">
        <f>Q4/20.585</f>
        <v>0.88676220548943407</v>
      </c>
      <c r="T4" s="92">
        <f>L4+M4</f>
        <v>2860.1</v>
      </c>
      <c r="U4" s="85"/>
      <c r="V4" s="85"/>
      <c r="W4" s="77"/>
    </row>
    <row r="5" spans="1:75" ht="120">
      <c r="A5" s="8" t="s">
        <v>11</v>
      </c>
      <c r="B5" s="81" t="s">
        <v>260</v>
      </c>
      <c r="C5" s="71">
        <v>211</v>
      </c>
      <c r="D5" s="71">
        <v>213</v>
      </c>
      <c r="E5" s="153" t="s">
        <v>13</v>
      </c>
      <c r="F5" s="153" t="s">
        <v>267</v>
      </c>
      <c r="G5" s="153" t="s">
        <v>12</v>
      </c>
      <c r="H5" s="153" t="s">
        <v>14</v>
      </c>
      <c r="I5" s="153" t="s">
        <v>269</v>
      </c>
      <c r="J5" s="71" t="s">
        <v>15</v>
      </c>
      <c r="K5" s="73" t="s">
        <v>261</v>
      </c>
      <c r="L5" s="82" t="s">
        <v>296</v>
      </c>
      <c r="M5" s="139" t="s">
        <v>310</v>
      </c>
      <c r="N5" s="135" t="s">
        <v>297</v>
      </c>
      <c r="O5" s="136" t="s">
        <v>298</v>
      </c>
      <c r="P5" s="137" t="s">
        <v>312</v>
      </c>
      <c r="Q5" s="148" t="s">
        <v>307</v>
      </c>
      <c r="R5" s="149" t="s">
        <v>309</v>
      </c>
      <c r="S5" s="8" t="s">
        <v>313</v>
      </c>
      <c r="T5" s="43" t="s">
        <v>293</v>
      </c>
      <c r="U5" s="85"/>
      <c r="V5" s="85"/>
      <c r="W5" s="77"/>
    </row>
    <row r="6" spans="1:75" s="107" customFormat="1" ht="18.75">
      <c r="A6" s="120">
        <v>16</v>
      </c>
      <c r="B6" s="106">
        <v>82</v>
      </c>
      <c r="C6" s="52">
        <v>741</v>
      </c>
      <c r="D6" s="52">
        <v>164.1</v>
      </c>
      <c r="E6" s="65">
        <v>294.7</v>
      </c>
      <c r="F6" s="65">
        <v>384.9</v>
      </c>
      <c r="G6" s="65">
        <v>57.1</v>
      </c>
      <c r="H6" s="66"/>
      <c r="I6" s="66"/>
      <c r="J6" s="90">
        <v>154</v>
      </c>
      <c r="K6" s="90">
        <f>896.2+69.4</f>
        <v>965.6</v>
      </c>
      <c r="L6" s="123">
        <f t="shared" ref="L6:L69" si="2">ROUND(C6+D6+H6+J6+K6+F6+G6+E6,1)</f>
        <v>2761.4</v>
      </c>
      <c r="M6" s="42">
        <v>31</v>
      </c>
      <c r="N6" s="138">
        <f t="shared" ref="N6:N69" si="3">E6+F6+G6+H6+I6</f>
        <v>736.69999999999993</v>
      </c>
      <c r="O6" s="125">
        <v>113.7</v>
      </c>
      <c r="P6" s="109">
        <f t="shared" ref="P6:P69" si="4">N6+O6</f>
        <v>850.4</v>
      </c>
      <c r="Q6" s="39">
        <f t="shared" si="0"/>
        <v>33.676000000000002</v>
      </c>
      <c r="R6" s="39">
        <f t="shared" si="1"/>
        <v>10.370731707317074</v>
      </c>
      <c r="S6" s="157">
        <f t="shared" ref="S6:S69" si="5">Q6/20.585</f>
        <v>1.6359485061938306</v>
      </c>
      <c r="T6" s="92">
        <f>L6+M6</f>
        <v>2792.4</v>
      </c>
      <c r="U6" s="85"/>
      <c r="V6" s="85"/>
      <c r="W6" s="77"/>
      <c r="X6" s="80"/>
      <c r="Y6" s="80"/>
      <c r="Z6" s="87"/>
      <c r="AA6" s="87"/>
      <c r="AB6" s="87"/>
      <c r="AC6" s="87"/>
      <c r="AD6" s="87"/>
      <c r="AE6" s="87"/>
      <c r="AF6" s="87"/>
      <c r="AG6" s="87"/>
      <c r="AH6" s="87"/>
      <c r="AI6" s="87"/>
      <c r="AJ6" s="87"/>
      <c r="AK6" s="87"/>
      <c r="AL6" s="87"/>
      <c r="AM6" s="87"/>
      <c r="AN6" s="87"/>
      <c r="AO6" s="87"/>
      <c r="AP6" s="87"/>
      <c r="AQ6" s="87"/>
      <c r="AR6" s="87"/>
      <c r="AS6" s="87"/>
      <c r="AT6" s="87"/>
      <c r="AU6" s="87"/>
      <c r="AV6" s="87"/>
      <c r="AW6" s="87"/>
      <c r="AX6" s="87"/>
      <c r="AY6" s="87"/>
      <c r="AZ6" s="87"/>
      <c r="BA6" s="87"/>
      <c r="BB6" s="87"/>
      <c r="BC6" s="87"/>
      <c r="BD6" s="87"/>
      <c r="BE6" s="87"/>
      <c r="BF6" s="87"/>
      <c r="BG6" s="87"/>
      <c r="BH6" s="87"/>
      <c r="BI6" s="87"/>
      <c r="BJ6" s="87"/>
      <c r="BK6" s="87"/>
      <c r="BL6" s="87"/>
      <c r="BM6" s="87"/>
      <c r="BN6" s="87"/>
      <c r="BO6" s="87"/>
      <c r="BP6" s="87"/>
      <c r="BQ6" s="87"/>
      <c r="BR6" s="87"/>
      <c r="BS6" s="87"/>
      <c r="BT6" s="87"/>
      <c r="BU6" s="87"/>
      <c r="BV6" s="87"/>
      <c r="BW6" s="87"/>
    </row>
    <row r="7" spans="1:75" ht="18.75" hidden="1">
      <c r="A7" s="7" t="s">
        <v>67</v>
      </c>
      <c r="B7" s="89">
        <v>123</v>
      </c>
      <c r="C7" s="51">
        <v>647.20000000000005</v>
      </c>
      <c r="D7" s="51">
        <v>143.30000000000001</v>
      </c>
      <c r="E7" s="63">
        <v>275.10000000000002</v>
      </c>
      <c r="F7" s="63">
        <v>297.39999999999998</v>
      </c>
      <c r="G7" s="63">
        <v>82.4</v>
      </c>
      <c r="H7" s="64"/>
      <c r="I7" s="64"/>
      <c r="J7" s="108">
        <v>130</v>
      </c>
      <c r="K7" s="6">
        <f>527.2+40.8</f>
        <v>568</v>
      </c>
      <c r="L7" s="123">
        <f t="shared" si="2"/>
        <v>2143.4</v>
      </c>
      <c r="M7" s="42">
        <v>16.7</v>
      </c>
      <c r="N7" s="138">
        <f t="shared" si="3"/>
        <v>654.9</v>
      </c>
      <c r="O7" s="125">
        <v>94.5</v>
      </c>
      <c r="P7" s="109">
        <f t="shared" si="4"/>
        <v>749.4</v>
      </c>
      <c r="Q7" s="39">
        <f t="shared" si="0"/>
        <v>17.425999999999998</v>
      </c>
      <c r="R7" s="39">
        <f t="shared" si="1"/>
        <v>6.0926829268292684</v>
      </c>
      <c r="S7" s="128">
        <f t="shared" si="5"/>
        <v>0.84653874180228306</v>
      </c>
      <c r="T7" s="92">
        <f t="shared" ref="T7:T69" si="6">L7+M7</f>
        <v>2160.1</v>
      </c>
      <c r="U7" s="85"/>
      <c r="V7" s="85"/>
      <c r="W7" s="77"/>
    </row>
    <row r="8" spans="1:75" ht="18.75" hidden="1">
      <c r="A8" s="7" t="s">
        <v>68</v>
      </c>
      <c r="B8" s="89">
        <v>183</v>
      </c>
      <c r="C8" s="51">
        <v>811.4</v>
      </c>
      <c r="D8" s="51">
        <v>179.7</v>
      </c>
      <c r="E8" s="63">
        <v>206.3</v>
      </c>
      <c r="F8" s="63">
        <v>350.6</v>
      </c>
      <c r="G8" s="63">
        <v>62.8</v>
      </c>
      <c r="H8" s="64"/>
      <c r="I8" s="64"/>
      <c r="J8" s="108">
        <v>154</v>
      </c>
      <c r="K8" s="6">
        <f>858.1+66.4</f>
        <v>924.5</v>
      </c>
      <c r="L8" s="123">
        <f t="shared" si="2"/>
        <v>2689.3</v>
      </c>
      <c r="M8" s="42">
        <v>24</v>
      </c>
      <c r="N8" s="138">
        <f t="shared" si="3"/>
        <v>619.70000000000005</v>
      </c>
      <c r="O8" s="125">
        <v>105.3</v>
      </c>
      <c r="P8" s="109">
        <f t="shared" si="4"/>
        <v>725</v>
      </c>
      <c r="Q8" s="39">
        <f t="shared" si="0"/>
        <v>14.696</v>
      </c>
      <c r="R8" s="39">
        <f t="shared" si="1"/>
        <v>3.9617486338797816</v>
      </c>
      <c r="S8" s="128">
        <f t="shared" si="5"/>
        <v>0.71391790138450328</v>
      </c>
      <c r="T8" s="92">
        <f t="shared" si="6"/>
        <v>2713.3</v>
      </c>
      <c r="U8" s="85"/>
      <c r="V8" s="85"/>
      <c r="W8" s="77"/>
    </row>
    <row r="9" spans="1:75" ht="18.75" hidden="1">
      <c r="A9" s="7" t="s">
        <v>69</v>
      </c>
      <c r="B9" s="89">
        <v>173</v>
      </c>
      <c r="C9" s="51">
        <v>741</v>
      </c>
      <c r="D9" s="51">
        <v>164.1</v>
      </c>
      <c r="E9" s="63">
        <v>278.3</v>
      </c>
      <c r="F9" s="63">
        <v>479.4</v>
      </c>
      <c r="G9" s="63">
        <v>48.3</v>
      </c>
      <c r="H9" s="64"/>
      <c r="I9" s="64"/>
      <c r="J9" s="108">
        <v>154</v>
      </c>
      <c r="K9" s="6">
        <f>745.3+57.7</f>
        <v>803</v>
      </c>
      <c r="L9" s="123">
        <f t="shared" si="2"/>
        <v>2668.1</v>
      </c>
      <c r="M9" s="42">
        <v>20.9</v>
      </c>
      <c r="N9" s="138">
        <f t="shared" si="3"/>
        <v>806</v>
      </c>
      <c r="O9" s="125">
        <v>96.6</v>
      </c>
      <c r="P9" s="109">
        <f t="shared" si="4"/>
        <v>902.6</v>
      </c>
      <c r="Q9" s="39">
        <f t="shared" si="0"/>
        <v>15.423</v>
      </c>
      <c r="R9" s="39">
        <f t="shared" si="1"/>
        <v>5.2173410404624283</v>
      </c>
      <c r="S9" s="128">
        <f t="shared" si="5"/>
        <v>0.74923487976682046</v>
      </c>
      <c r="T9" s="92">
        <f t="shared" si="6"/>
        <v>2689</v>
      </c>
      <c r="U9" s="85"/>
      <c r="V9" s="85"/>
      <c r="W9" s="77"/>
    </row>
    <row r="10" spans="1:75" ht="18.75" hidden="1">
      <c r="A10" s="7" t="s">
        <v>70</v>
      </c>
      <c r="B10" s="89">
        <v>207</v>
      </c>
      <c r="C10" s="51">
        <v>787.9</v>
      </c>
      <c r="D10" s="51">
        <v>174.5</v>
      </c>
      <c r="E10" s="63">
        <v>225.9</v>
      </c>
      <c r="F10" s="63">
        <v>537.1</v>
      </c>
      <c r="G10" s="63">
        <v>57.4</v>
      </c>
      <c r="H10" s="64"/>
      <c r="I10" s="64"/>
      <c r="J10" s="108">
        <v>154</v>
      </c>
      <c r="K10" s="6">
        <f>987.2+76.5</f>
        <v>1063.7</v>
      </c>
      <c r="L10" s="123">
        <f t="shared" si="2"/>
        <v>3000.5</v>
      </c>
      <c r="M10" s="42">
        <v>28.8</v>
      </c>
      <c r="N10" s="138">
        <f t="shared" si="3"/>
        <v>820.4</v>
      </c>
      <c r="O10" s="125">
        <v>119.3</v>
      </c>
      <c r="P10" s="109">
        <f t="shared" si="4"/>
        <v>939.69999999999993</v>
      </c>
      <c r="Q10" s="39">
        <f t="shared" si="0"/>
        <v>14.494999999999999</v>
      </c>
      <c r="R10" s="39">
        <f t="shared" si="1"/>
        <v>4.5396135265700481</v>
      </c>
      <c r="S10" s="128">
        <f t="shared" si="5"/>
        <v>0.70415350983726011</v>
      </c>
      <c r="T10" s="92">
        <f t="shared" si="6"/>
        <v>3029.3</v>
      </c>
      <c r="U10" s="85"/>
      <c r="V10" s="85"/>
      <c r="W10" s="77"/>
    </row>
    <row r="11" spans="1:75" ht="18.75" hidden="1">
      <c r="A11" s="7" t="s">
        <v>71</v>
      </c>
      <c r="B11" s="89">
        <v>203</v>
      </c>
      <c r="C11" s="51">
        <v>787.9</v>
      </c>
      <c r="D11" s="51">
        <v>174.5</v>
      </c>
      <c r="E11" s="63">
        <v>360.2</v>
      </c>
      <c r="F11" s="63">
        <v>594.79999999999995</v>
      </c>
      <c r="G11" s="63">
        <v>64.400000000000006</v>
      </c>
      <c r="H11" s="64"/>
      <c r="I11" s="64"/>
      <c r="J11" s="108">
        <v>154</v>
      </c>
      <c r="K11" s="6">
        <f>974.4+75.5</f>
        <v>1049.9000000000001</v>
      </c>
      <c r="L11" s="123">
        <f t="shared" si="2"/>
        <v>3185.7</v>
      </c>
      <c r="M11" s="42">
        <v>25.3</v>
      </c>
      <c r="N11" s="138">
        <f t="shared" si="3"/>
        <v>1019.4</v>
      </c>
      <c r="O11" s="125">
        <v>135.5</v>
      </c>
      <c r="P11" s="109">
        <f t="shared" si="4"/>
        <v>1154.9000000000001</v>
      </c>
      <c r="Q11" s="39">
        <f t="shared" si="0"/>
        <v>15.693</v>
      </c>
      <c r="R11" s="39">
        <f t="shared" si="1"/>
        <v>5.6891625615763548</v>
      </c>
      <c r="S11" s="128">
        <f t="shared" si="5"/>
        <v>0.76235122662132615</v>
      </c>
      <c r="T11" s="92">
        <f t="shared" si="6"/>
        <v>3211</v>
      </c>
      <c r="U11" s="85"/>
      <c r="V11" s="85"/>
      <c r="W11" s="77"/>
    </row>
    <row r="12" spans="1:75" ht="18.75" hidden="1">
      <c r="A12" s="7" t="s">
        <v>72</v>
      </c>
      <c r="B12" s="89">
        <v>188</v>
      </c>
      <c r="C12" s="51">
        <v>787.9</v>
      </c>
      <c r="D12" s="51">
        <v>174.5</v>
      </c>
      <c r="E12" s="63">
        <v>301.3</v>
      </c>
      <c r="F12" s="63">
        <v>474.1</v>
      </c>
      <c r="G12" s="63">
        <v>68.3</v>
      </c>
      <c r="H12" s="64"/>
      <c r="I12" s="64"/>
      <c r="J12" s="108">
        <v>154</v>
      </c>
      <c r="K12" s="6">
        <f>961.7+74.5</f>
        <v>1036.2</v>
      </c>
      <c r="L12" s="123">
        <f t="shared" si="2"/>
        <v>2996.3</v>
      </c>
      <c r="M12" s="42">
        <v>26.5</v>
      </c>
      <c r="N12" s="138">
        <f t="shared" si="3"/>
        <v>843.7</v>
      </c>
      <c r="O12" s="125">
        <v>120.1</v>
      </c>
      <c r="P12" s="109">
        <f t="shared" si="4"/>
        <v>963.80000000000007</v>
      </c>
      <c r="Q12" s="39">
        <f t="shared" si="0"/>
        <v>15.938000000000001</v>
      </c>
      <c r="R12" s="39">
        <f t="shared" si="1"/>
        <v>5.1265957446808512</v>
      </c>
      <c r="S12" s="128">
        <f t="shared" si="5"/>
        <v>0.77425309691522959</v>
      </c>
      <c r="T12" s="92">
        <f t="shared" si="6"/>
        <v>3022.8</v>
      </c>
      <c r="U12" s="85"/>
      <c r="V12" s="85"/>
      <c r="W12" s="77"/>
    </row>
    <row r="13" spans="1:75" ht="18.75" hidden="1">
      <c r="A13" s="7" t="s">
        <v>73</v>
      </c>
      <c r="B13" s="89">
        <v>180</v>
      </c>
      <c r="C13" s="51">
        <v>741</v>
      </c>
      <c r="D13" s="51">
        <v>164.1</v>
      </c>
      <c r="E13" s="63">
        <v>347.1</v>
      </c>
      <c r="F13" s="63">
        <v>497.6</v>
      </c>
      <c r="G13" s="63">
        <v>61.2</v>
      </c>
      <c r="H13" s="64"/>
      <c r="I13" s="64"/>
      <c r="J13" s="108">
        <v>154</v>
      </c>
      <c r="K13" s="6">
        <f>714.5+55.3</f>
        <v>769.8</v>
      </c>
      <c r="L13" s="123">
        <f t="shared" si="2"/>
        <v>2734.8</v>
      </c>
      <c r="M13" s="42">
        <v>38.1</v>
      </c>
      <c r="N13" s="138">
        <f t="shared" si="3"/>
        <v>905.90000000000009</v>
      </c>
      <c r="O13" s="125">
        <v>132.5</v>
      </c>
      <c r="P13" s="109">
        <f t="shared" si="4"/>
        <v>1038.4000000000001</v>
      </c>
      <c r="Q13" s="39">
        <f t="shared" si="0"/>
        <v>15.193</v>
      </c>
      <c r="R13" s="39">
        <f t="shared" si="1"/>
        <v>5.7688888888888892</v>
      </c>
      <c r="S13" s="128">
        <f t="shared" si="5"/>
        <v>0.73806169540927857</v>
      </c>
      <c r="T13" s="92">
        <f t="shared" si="6"/>
        <v>2772.9</v>
      </c>
      <c r="U13" s="85"/>
      <c r="V13" s="85"/>
      <c r="W13" s="77"/>
    </row>
    <row r="14" spans="1:75" s="107" customFormat="1" ht="18.75">
      <c r="A14" s="120">
        <v>75</v>
      </c>
      <c r="B14" s="106">
        <v>93</v>
      </c>
      <c r="C14" s="52">
        <v>741</v>
      </c>
      <c r="D14" s="52">
        <v>164.1</v>
      </c>
      <c r="E14" s="65">
        <v>294.7</v>
      </c>
      <c r="F14" s="65">
        <v>510.9</v>
      </c>
      <c r="G14" s="65">
        <v>52.7</v>
      </c>
      <c r="H14" s="66"/>
      <c r="I14" s="66"/>
      <c r="J14" s="96">
        <v>154</v>
      </c>
      <c r="K14" s="97">
        <f>516.3+39.9</f>
        <v>556.19999999999993</v>
      </c>
      <c r="L14" s="123">
        <f t="shared" si="2"/>
        <v>2473.6</v>
      </c>
      <c r="M14" s="42">
        <v>29.2</v>
      </c>
      <c r="N14" s="138">
        <f t="shared" si="3"/>
        <v>858.3</v>
      </c>
      <c r="O14" s="125">
        <v>114.3</v>
      </c>
      <c r="P14" s="109">
        <f t="shared" si="4"/>
        <v>972.59999999999991</v>
      </c>
      <c r="Q14" s="39">
        <f t="shared" si="0"/>
        <v>26.597999999999999</v>
      </c>
      <c r="R14" s="39">
        <f t="shared" si="1"/>
        <v>10.458064516129031</v>
      </c>
      <c r="S14" s="157">
        <f t="shared" si="5"/>
        <v>1.2921059023560844</v>
      </c>
      <c r="T14" s="92">
        <f t="shared" si="6"/>
        <v>2502.7999999999997</v>
      </c>
      <c r="U14" s="85"/>
      <c r="V14" s="80"/>
      <c r="W14" s="77"/>
      <c r="X14" s="80"/>
      <c r="Y14" s="80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</row>
    <row r="15" spans="1:75" s="107" customFormat="1" ht="18.75" hidden="1">
      <c r="A15" s="120">
        <v>80</v>
      </c>
      <c r="B15" s="106">
        <v>360</v>
      </c>
      <c r="C15" s="52">
        <v>1529</v>
      </c>
      <c r="D15" s="52">
        <v>338.5</v>
      </c>
      <c r="E15" s="65">
        <v>665.2</v>
      </c>
      <c r="F15" s="65">
        <v>1459.3</v>
      </c>
      <c r="G15" s="65">
        <v>112</v>
      </c>
      <c r="H15" s="66"/>
      <c r="I15" s="66"/>
      <c r="J15" s="90">
        <v>239</v>
      </c>
      <c r="K15" s="107">
        <f>1708.9+132.3</f>
        <v>1841.2</v>
      </c>
      <c r="L15" s="123">
        <f t="shared" si="2"/>
        <v>6184.2</v>
      </c>
      <c r="M15" s="42">
        <v>30.7</v>
      </c>
      <c r="N15" s="138">
        <f t="shared" si="3"/>
        <v>2236.5</v>
      </c>
      <c r="O15" s="125">
        <v>186</v>
      </c>
      <c r="P15" s="109">
        <f t="shared" si="4"/>
        <v>2422.5</v>
      </c>
      <c r="Q15" s="39">
        <f t="shared" si="0"/>
        <v>17.178000000000001</v>
      </c>
      <c r="R15" s="39">
        <f t="shared" si="1"/>
        <v>6.729166666666667</v>
      </c>
      <c r="S15" s="128">
        <f t="shared" si="5"/>
        <v>0.83449113432110755</v>
      </c>
      <c r="T15" s="92">
        <f t="shared" si="6"/>
        <v>6214.9</v>
      </c>
      <c r="U15" s="85"/>
      <c r="V15" s="80"/>
      <c r="W15" s="77"/>
      <c r="X15" s="80"/>
      <c r="Y15" s="80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</row>
    <row r="16" spans="1:75" ht="18.75" hidden="1">
      <c r="A16" s="7" t="s">
        <v>74</v>
      </c>
      <c r="B16" s="89">
        <v>166</v>
      </c>
      <c r="C16" s="51">
        <v>741</v>
      </c>
      <c r="D16" s="51">
        <v>164.1</v>
      </c>
      <c r="E16" s="63">
        <v>397.1</v>
      </c>
      <c r="F16" s="63">
        <v>498.6</v>
      </c>
      <c r="G16" s="63">
        <v>50.5</v>
      </c>
      <c r="H16" s="64"/>
      <c r="I16" s="64"/>
      <c r="J16" s="108">
        <v>150</v>
      </c>
      <c r="K16" s="6">
        <f>663.5+51.4</f>
        <v>714.9</v>
      </c>
      <c r="L16" s="123">
        <f t="shared" si="2"/>
        <v>2716.2</v>
      </c>
      <c r="M16" s="42">
        <v>27.3</v>
      </c>
      <c r="N16" s="138">
        <f t="shared" si="3"/>
        <v>946.2</v>
      </c>
      <c r="O16" s="125">
        <v>84</v>
      </c>
      <c r="P16" s="109">
        <f t="shared" si="4"/>
        <v>1030.2</v>
      </c>
      <c r="Q16" s="39">
        <f t="shared" si="0"/>
        <v>16.363</v>
      </c>
      <c r="R16" s="39">
        <f t="shared" si="1"/>
        <v>6.2060240963855424</v>
      </c>
      <c r="S16" s="128">
        <f t="shared" si="5"/>
        <v>0.79489919844546997</v>
      </c>
      <c r="T16" s="92">
        <f t="shared" si="6"/>
        <v>2743.5</v>
      </c>
      <c r="U16" s="85"/>
      <c r="W16" s="77"/>
    </row>
    <row r="17" spans="1:75" s="107" customFormat="1" ht="18.75">
      <c r="A17" s="120">
        <v>85</v>
      </c>
      <c r="B17" s="106">
        <v>87</v>
      </c>
      <c r="C17" s="52">
        <v>741</v>
      </c>
      <c r="D17" s="52">
        <v>164.1</v>
      </c>
      <c r="E17" s="65">
        <v>275.10000000000002</v>
      </c>
      <c r="F17" s="65">
        <v>515.1</v>
      </c>
      <c r="G17" s="65">
        <v>41.5</v>
      </c>
      <c r="H17" s="66"/>
      <c r="I17" s="66"/>
      <c r="J17" s="96">
        <v>154</v>
      </c>
      <c r="K17" s="97">
        <f>667.2+51.6</f>
        <v>718.80000000000007</v>
      </c>
      <c r="L17" s="123">
        <f t="shared" si="2"/>
        <v>2609.6</v>
      </c>
      <c r="M17" s="42">
        <v>33.299999999999997</v>
      </c>
      <c r="N17" s="138">
        <f t="shared" si="3"/>
        <v>831.7</v>
      </c>
      <c r="O17" s="125">
        <v>95.2</v>
      </c>
      <c r="P17" s="109">
        <f t="shared" si="4"/>
        <v>926.90000000000009</v>
      </c>
      <c r="Q17" s="39">
        <f t="shared" si="0"/>
        <v>29.995000000000001</v>
      </c>
      <c r="R17" s="39">
        <f t="shared" si="1"/>
        <v>10.654022988505748</v>
      </c>
      <c r="S17" s="157">
        <f t="shared" si="5"/>
        <v>1.4571289774107359</v>
      </c>
      <c r="T17" s="92">
        <f t="shared" si="6"/>
        <v>2642.9</v>
      </c>
      <c r="U17" s="85"/>
      <c r="V17" s="80"/>
      <c r="W17" s="77"/>
      <c r="X17" s="80"/>
      <c r="Y17" s="80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</row>
    <row r="18" spans="1:75" s="107" customFormat="1" ht="18.75" hidden="1">
      <c r="A18" s="120">
        <v>104</v>
      </c>
      <c r="B18" s="106">
        <v>270</v>
      </c>
      <c r="C18" s="52">
        <v>1022.4</v>
      </c>
      <c r="D18" s="52">
        <v>226.4</v>
      </c>
      <c r="E18" s="65">
        <v>445.3</v>
      </c>
      <c r="F18" s="65">
        <f>904.3+116.1</f>
        <v>1020.4</v>
      </c>
      <c r="G18" s="65">
        <v>126.9</v>
      </c>
      <c r="H18" s="66"/>
      <c r="I18" s="66"/>
      <c r="J18" s="96">
        <v>177</v>
      </c>
      <c r="K18" s="97">
        <f>1243.5+96.3</f>
        <v>1339.8</v>
      </c>
      <c r="L18" s="123">
        <f t="shared" si="2"/>
        <v>4358.2</v>
      </c>
      <c r="M18" s="42">
        <v>56.7</v>
      </c>
      <c r="N18" s="138">
        <f t="shared" si="3"/>
        <v>1592.6000000000001</v>
      </c>
      <c r="O18" s="125">
        <v>122</v>
      </c>
      <c r="P18" s="109">
        <f t="shared" si="4"/>
        <v>1714.6000000000001</v>
      </c>
      <c r="Q18" s="39">
        <f t="shared" si="0"/>
        <v>16.140999999999998</v>
      </c>
      <c r="R18" s="39">
        <f t="shared" si="1"/>
        <v>6.3503703703703707</v>
      </c>
      <c r="S18" s="128">
        <f t="shared" si="5"/>
        <v>0.78411464658732077</v>
      </c>
      <c r="T18" s="92">
        <f t="shared" si="6"/>
        <v>4414.8999999999996</v>
      </c>
      <c r="U18" s="85"/>
      <c r="V18" s="80"/>
      <c r="W18" s="77"/>
      <c r="X18" s="80"/>
      <c r="Y18" s="80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</row>
    <row r="19" spans="1:75" s="107" customFormat="1" ht="18.75">
      <c r="A19" s="120">
        <v>106</v>
      </c>
      <c r="B19" s="106">
        <v>66</v>
      </c>
      <c r="C19" s="52">
        <v>694.1</v>
      </c>
      <c r="D19" s="52">
        <v>153.69999999999999</v>
      </c>
      <c r="E19" s="65">
        <v>219.4</v>
      </c>
      <c r="F19" s="65">
        <v>370.9</v>
      </c>
      <c r="G19" s="65">
        <v>38.1</v>
      </c>
      <c r="H19" s="66"/>
      <c r="I19" s="66"/>
      <c r="J19" s="96">
        <v>130</v>
      </c>
      <c r="K19" s="97">
        <f>354.5+27.5</f>
        <v>382</v>
      </c>
      <c r="L19" s="123">
        <f t="shared" si="2"/>
        <v>1988.2</v>
      </c>
      <c r="M19" s="42">
        <v>18.899999999999999</v>
      </c>
      <c r="N19" s="138">
        <f t="shared" si="3"/>
        <v>628.4</v>
      </c>
      <c r="O19" s="125">
        <v>107.8</v>
      </c>
      <c r="P19" s="109">
        <f t="shared" si="4"/>
        <v>736.19999999999993</v>
      </c>
      <c r="Q19" s="39">
        <f t="shared" si="0"/>
        <v>30.123999999999999</v>
      </c>
      <c r="R19" s="39">
        <f t="shared" si="1"/>
        <v>11.154545454545454</v>
      </c>
      <c r="S19" s="157">
        <f t="shared" si="5"/>
        <v>1.4633956764634442</v>
      </c>
      <c r="T19" s="92">
        <f t="shared" si="6"/>
        <v>2007.1000000000001</v>
      </c>
      <c r="U19" s="85"/>
      <c r="V19" s="80"/>
      <c r="W19" s="77"/>
      <c r="X19" s="80"/>
      <c r="Y19" s="80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</row>
    <row r="20" spans="1:75" ht="18.75" hidden="1">
      <c r="A20" s="7" t="s">
        <v>75</v>
      </c>
      <c r="B20" s="89">
        <v>308</v>
      </c>
      <c r="C20" s="51">
        <v>1482.1</v>
      </c>
      <c r="D20" s="51">
        <v>328.2</v>
      </c>
      <c r="E20" s="63">
        <v>537.1</v>
      </c>
      <c r="F20" s="63">
        <v>1313.8</v>
      </c>
      <c r="G20" s="63">
        <v>120.4</v>
      </c>
      <c r="H20" s="64"/>
      <c r="I20" s="64"/>
      <c r="J20" s="108">
        <v>217</v>
      </c>
      <c r="K20" s="6">
        <f>1368.9+106</f>
        <v>1474.9</v>
      </c>
      <c r="L20" s="123">
        <f t="shared" si="2"/>
        <v>5473.5</v>
      </c>
      <c r="M20" s="42">
        <v>68.5</v>
      </c>
      <c r="N20" s="138">
        <f t="shared" si="3"/>
        <v>1971.3000000000002</v>
      </c>
      <c r="O20" s="125">
        <v>153.4</v>
      </c>
      <c r="P20" s="109">
        <f t="shared" si="4"/>
        <v>2124.7000000000003</v>
      </c>
      <c r="Q20" s="39">
        <f t="shared" si="0"/>
        <v>17.771000000000001</v>
      </c>
      <c r="R20" s="39">
        <f t="shared" si="1"/>
        <v>6.8983766233766239</v>
      </c>
      <c r="S20" s="128">
        <f t="shared" si="5"/>
        <v>0.86329851833859605</v>
      </c>
      <c r="T20" s="92">
        <f t="shared" si="6"/>
        <v>5542</v>
      </c>
      <c r="U20" s="85"/>
      <c r="W20" s="77"/>
    </row>
    <row r="21" spans="1:75" ht="18.75" hidden="1">
      <c r="A21" s="7" t="s">
        <v>76</v>
      </c>
      <c r="B21" s="89">
        <v>176</v>
      </c>
      <c r="C21" s="51">
        <v>741</v>
      </c>
      <c r="D21" s="51">
        <v>164.1</v>
      </c>
      <c r="E21" s="63">
        <v>314.3</v>
      </c>
      <c r="F21" s="63">
        <v>665.7</v>
      </c>
      <c r="G21" s="63">
        <v>131.69999999999999</v>
      </c>
      <c r="H21" s="64"/>
      <c r="I21" s="64"/>
      <c r="J21" s="108">
        <v>154</v>
      </c>
      <c r="K21" s="6">
        <f>765.3+59.2</f>
        <v>824.5</v>
      </c>
      <c r="L21" s="123">
        <f t="shared" si="2"/>
        <v>2995.3</v>
      </c>
      <c r="M21" s="42">
        <v>23.5</v>
      </c>
      <c r="N21" s="138">
        <f t="shared" si="3"/>
        <v>1111.7</v>
      </c>
      <c r="O21" s="125">
        <v>101.7</v>
      </c>
      <c r="P21" s="109">
        <f t="shared" si="4"/>
        <v>1213.4000000000001</v>
      </c>
      <c r="Q21" s="39">
        <f t="shared" si="0"/>
        <v>17.018999999999998</v>
      </c>
      <c r="R21" s="39">
        <f t="shared" si="1"/>
        <v>6.894318181818182</v>
      </c>
      <c r="S21" s="128">
        <f t="shared" si="5"/>
        <v>0.82676706339567629</v>
      </c>
      <c r="T21" s="92">
        <f t="shared" si="6"/>
        <v>3018.8</v>
      </c>
      <c r="U21" s="85"/>
      <c r="W21" s="77"/>
    </row>
    <row r="22" spans="1:75" s="107" customFormat="1" ht="18.75" hidden="1">
      <c r="A22" s="120">
        <v>123</v>
      </c>
      <c r="B22" s="106">
        <v>181</v>
      </c>
      <c r="C22" s="52">
        <v>787.9</v>
      </c>
      <c r="D22" s="52">
        <v>174.5</v>
      </c>
      <c r="E22" s="65">
        <v>399.5</v>
      </c>
      <c r="F22" s="65">
        <v>600.1</v>
      </c>
      <c r="G22" s="65">
        <v>68.900000000000006</v>
      </c>
      <c r="H22" s="66"/>
      <c r="I22" s="66"/>
      <c r="J22" s="96">
        <v>154</v>
      </c>
      <c r="K22" s="97">
        <f>736.3+57</f>
        <v>793.3</v>
      </c>
      <c r="L22" s="123">
        <f t="shared" si="2"/>
        <v>2978.2</v>
      </c>
      <c r="M22" s="42">
        <v>24.8</v>
      </c>
      <c r="N22" s="138">
        <f t="shared" si="3"/>
        <v>1068.5</v>
      </c>
      <c r="O22" s="125">
        <v>134.5</v>
      </c>
      <c r="P22" s="109">
        <f t="shared" si="4"/>
        <v>1203</v>
      </c>
      <c r="Q22" s="39">
        <f t="shared" si="0"/>
        <v>16.454000000000001</v>
      </c>
      <c r="R22" s="39">
        <f t="shared" si="1"/>
        <v>6.6464088397790055</v>
      </c>
      <c r="S22" s="128">
        <f t="shared" si="5"/>
        <v>0.79931989312606266</v>
      </c>
      <c r="T22" s="92">
        <f t="shared" si="6"/>
        <v>3003</v>
      </c>
      <c r="U22" s="85"/>
      <c r="V22" s="80"/>
      <c r="W22" s="77"/>
      <c r="X22" s="80"/>
      <c r="Y22" s="80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</row>
    <row r="23" spans="1:75" ht="18.75" hidden="1">
      <c r="A23" s="7" t="s">
        <v>77</v>
      </c>
      <c r="B23" s="89">
        <v>215</v>
      </c>
      <c r="C23" s="51">
        <v>787.9</v>
      </c>
      <c r="D23" s="51">
        <v>174.5</v>
      </c>
      <c r="E23" s="63">
        <v>311.10000000000002</v>
      </c>
      <c r="F23" s="63">
        <v>790.8</v>
      </c>
      <c r="G23" s="63">
        <v>49.1</v>
      </c>
      <c r="H23" s="64"/>
      <c r="I23" s="64"/>
      <c r="J23" s="108">
        <v>154</v>
      </c>
      <c r="K23" s="6">
        <f>885.3+68.5</f>
        <v>953.8</v>
      </c>
      <c r="L23" s="123">
        <f t="shared" si="2"/>
        <v>3221.2</v>
      </c>
      <c r="M23" s="42">
        <v>34.9</v>
      </c>
      <c r="N23" s="138">
        <f t="shared" si="3"/>
        <v>1151</v>
      </c>
      <c r="O23" s="125">
        <v>122.9</v>
      </c>
      <c r="P23" s="109">
        <f t="shared" si="4"/>
        <v>1273.9000000000001</v>
      </c>
      <c r="Q23" s="39">
        <f t="shared" si="0"/>
        <v>14.981999999999999</v>
      </c>
      <c r="R23" s="39">
        <f t="shared" si="1"/>
        <v>5.9251162790697682</v>
      </c>
      <c r="S23" s="128">
        <f t="shared" si="5"/>
        <v>0.72781151323779447</v>
      </c>
      <c r="T23" s="92">
        <f t="shared" si="6"/>
        <v>3256.1</v>
      </c>
      <c r="U23" s="85"/>
      <c r="W23" s="77"/>
    </row>
    <row r="24" spans="1:75" ht="18.75" hidden="1">
      <c r="A24" s="7" t="s">
        <v>78</v>
      </c>
      <c r="B24" s="89">
        <v>177</v>
      </c>
      <c r="C24" s="51">
        <v>787.9</v>
      </c>
      <c r="D24" s="51">
        <v>174.5</v>
      </c>
      <c r="E24" s="63">
        <v>360.2</v>
      </c>
      <c r="F24" s="63">
        <v>657.9</v>
      </c>
      <c r="G24" s="63">
        <v>97.2</v>
      </c>
      <c r="H24" s="64"/>
      <c r="I24" s="64"/>
      <c r="J24" s="108">
        <v>154</v>
      </c>
      <c r="K24" s="6">
        <f>703.5+54.5</f>
        <v>758</v>
      </c>
      <c r="L24" s="123">
        <f t="shared" si="2"/>
        <v>2989.7</v>
      </c>
      <c r="M24" s="42">
        <v>30.7</v>
      </c>
      <c r="N24" s="138">
        <f t="shared" si="3"/>
        <v>1115.3</v>
      </c>
      <c r="O24" s="125">
        <v>99.1</v>
      </c>
      <c r="P24" s="109">
        <f t="shared" si="4"/>
        <v>1214.3999999999999</v>
      </c>
      <c r="Q24" s="39">
        <f t="shared" si="0"/>
        <v>16.890999999999998</v>
      </c>
      <c r="R24" s="39">
        <f t="shared" si="1"/>
        <v>6.8610169491525417</v>
      </c>
      <c r="S24" s="128">
        <f t="shared" si="5"/>
        <v>0.82054894340539219</v>
      </c>
      <c r="T24" s="92">
        <f t="shared" si="6"/>
        <v>3020.3999999999996</v>
      </c>
      <c r="U24" s="85"/>
      <c r="W24" s="77"/>
    </row>
    <row r="25" spans="1:75" ht="18.75" hidden="1">
      <c r="A25" s="7" t="s">
        <v>79</v>
      </c>
      <c r="B25" s="89">
        <v>179</v>
      </c>
      <c r="C25" s="51">
        <v>741</v>
      </c>
      <c r="D25" s="51">
        <v>164.1</v>
      </c>
      <c r="E25" s="63">
        <v>394.6</v>
      </c>
      <c r="F25" s="63">
        <v>650.9</v>
      </c>
      <c r="G25" s="63">
        <v>80.099999999999994</v>
      </c>
      <c r="H25" s="64"/>
      <c r="I25" s="64"/>
      <c r="J25" s="108">
        <v>154</v>
      </c>
      <c r="K25" s="6">
        <f>839.9+65</f>
        <v>904.9</v>
      </c>
      <c r="L25" s="123">
        <f t="shared" si="2"/>
        <v>3089.6</v>
      </c>
      <c r="M25" s="42">
        <v>69</v>
      </c>
      <c r="N25" s="138">
        <f t="shared" si="3"/>
        <v>1125.5999999999999</v>
      </c>
      <c r="O25" s="125">
        <v>126.2</v>
      </c>
      <c r="P25" s="109">
        <f t="shared" si="4"/>
        <v>1251.8</v>
      </c>
      <c r="Q25" s="39">
        <f t="shared" si="0"/>
        <v>17.260000000000002</v>
      </c>
      <c r="R25" s="39">
        <f t="shared" si="1"/>
        <v>6.993296089385475</v>
      </c>
      <c r="S25" s="128">
        <f t="shared" si="5"/>
        <v>0.8384746174398835</v>
      </c>
      <c r="T25" s="92">
        <f t="shared" si="6"/>
        <v>3158.6</v>
      </c>
      <c r="U25" s="85"/>
      <c r="W25" s="77"/>
    </row>
    <row r="26" spans="1:75" s="107" customFormat="1" ht="18.75">
      <c r="A26" s="120">
        <v>139</v>
      </c>
      <c r="B26" s="106">
        <v>92</v>
      </c>
      <c r="C26" s="52">
        <v>741</v>
      </c>
      <c r="D26" s="52">
        <v>164.1</v>
      </c>
      <c r="E26" s="65">
        <v>340.6</v>
      </c>
      <c r="F26" s="65">
        <v>519.70000000000005</v>
      </c>
      <c r="G26" s="65">
        <v>48</v>
      </c>
      <c r="H26" s="66"/>
      <c r="I26" s="66"/>
      <c r="J26" s="96">
        <v>154</v>
      </c>
      <c r="K26" s="97">
        <f>527.2+40.8</f>
        <v>568</v>
      </c>
      <c r="L26" s="123">
        <f t="shared" si="2"/>
        <v>2535.4</v>
      </c>
      <c r="M26" s="42">
        <v>31.3</v>
      </c>
      <c r="N26" s="138">
        <f t="shared" si="3"/>
        <v>908.30000000000007</v>
      </c>
      <c r="O26" s="125">
        <v>110.7</v>
      </c>
      <c r="P26" s="109">
        <f t="shared" si="4"/>
        <v>1019.0000000000001</v>
      </c>
      <c r="Q26" s="39">
        <f t="shared" si="0"/>
        <v>27.559000000000001</v>
      </c>
      <c r="R26" s="39">
        <f t="shared" si="1"/>
        <v>11.07608695652174</v>
      </c>
      <c r="S26" s="157">
        <f t="shared" si="5"/>
        <v>1.3387903813456401</v>
      </c>
      <c r="T26" s="92">
        <f t="shared" si="6"/>
        <v>2566.7000000000003</v>
      </c>
      <c r="U26" s="85"/>
      <c r="V26" s="80"/>
      <c r="W26" s="77"/>
      <c r="X26" s="80"/>
      <c r="Y26" s="80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</row>
    <row r="27" spans="1:75" ht="18.75" hidden="1">
      <c r="A27" s="7" t="s">
        <v>80</v>
      </c>
      <c r="B27" s="89">
        <v>212</v>
      </c>
      <c r="C27" s="51">
        <v>881.7</v>
      </c>
      <c r="D27" s="51">
        <v>195.2</v>
      </c>
      <c r="E27" s="63">
        <v>585.70000000000005</v>
      </c>
      <c r="F27" s="63">
        <v>829.3</v>
      </c>
      <c r="G27" s="63">
        <v>93.6</v>
      </c>
      <c r="H27" s="64"/>
      <c r="I27" s="64"/>
      <c r="J27" s="108">
        <v>154</v>
      </c>
      <c r="K27" s="6">
        <f>816.2+63.2</f>
        <v>879.40000000000009</v>
      </c>
      <c r="L27" s="123">
        <f t="shared" si="2"/>
        <v>3618.9</v>
      </c>
      <c r="M27" s="42">
        <v>32.799999999999997</v>
      </c>
      <c r="N27" s="138">
        <f t="shared" si="3"/>
        <v>1508.6</v>
      </c>
      <c r="O27" s="125">
        <v>127.5</v>
      </c>
      <c r="P27" s="109">
        <f t="shared" si="4"/>
        <v>1636.1</v>
      </c>
      <c r="Q27" s="39">
        <f t="shared" si="0"/>
        <v>17.07</v>
      </c>
      <c r="R27" s="39">
        <f t="shared" si="1"/>
        <v>7.7174528301886784</v>
      </c>
      <c r="S27" s="128">
        <f t="shared" si="5"/>
        <v>0.8292445955793053</v>
      </c>
      <c r="T27" s="92">
        <f t="shared" si="6"/>
        <v>3651.7000000000003</v>
      </c>
      <c r="U27" s="85"/>
      <c r="W27" s="77"/>
    </row>
    <row r="28" spans="1:75" ht="18.75" hidden="1">
      <c r="A28" s="7" t="s">
        <v>81</v>
      </c>
      <c r="B28" s="89">
        <v>179</v>
      </c>
      <c r="C28" s="51">
        <v>741</v>
      </c>
      <c r="D28" s="51">
        <v>164.1</v>
      </c>
      <c r="E28" s="63">
        <v>340.6</v>
      </c>
      <c r="F28" s="63">
        <v>741.9</v>
      </c>
      <c r="G28" s="63">
        <v>83.4</v>
      </c>
      <c r="H28" s="64"/>
      <c r="I28" s="64"/>
      <c r="J28" s="108">
        <v>154</v>
      </c>
      <c r="K28" s="6">
        <f>874.4+67.8</f>
        <v>942.19999999999993</v>
      </c>
      <c r="L28" s="123">
        <f t="shared" si="2"/>
        <v>3167.2</v>
      </c>
      <c r="M28" s="42">
        <v>40</v>
      </c>
      <c r="N28" s="138">
        <f t="shared" si="3"/>
        <v>1165.9000000000001</v>
      </c>
      <c r="O28" s="125">
        <v>107.1</v>
      </c>
      <c r="P28" s="109">
        <f t="shared" si="4"/>
        <v>1273</v>
      </c>
      <c r="Q28" s="39">
        <f t="shared" si="0"/>
        <v>17.693999999999999</v>
      </c>
      <c r="R28" s="39">
        <f t="shared" si="1"/>
        <v>7.1117318435754191</v>
      </c>
      <c r="S28" s="128">
        <f t="shared" si="5"/>
        <v>0.85955793053194063</v>
      </c>
      <c r="T28" s="92">
        <f t="shared" si="6"/>
        <v>3207.2</v>
      </c>
      <c r="U28" s="85"/>
      <c r="W28" s="77"/>
    </row>
    <row r="29" spans="1:75" ht="18.75" hidden="1">
      <c r="A29" s="7" t="s">
        <v>82</v>
      </c>
      <c r="B29" s="89">
        <v>195</v>
      </c>
      <c r="C29" s="51">
        <v>787.9</v>
      </c>
      <c r="D29" s="51">
        <v>174.5</v>
      </c>
      <c r="E29" s="63">
        <v>281.60000000000002</v>
      </c>
      <c r="F29" s="63">
        <v>627.5</v>
      </c>
      <c r="G29" s="63">
        <v>80.400000000000006</v>
      </c>
      <c r="H29" s="64"/>
      <c r="I29" s="64"/>
      <c r="J29" s="108">
        <v>154</v>
      </c>
      <c r="K29" s="6">
        <f>834.4+64.7</f>
        <v>899.1</v>
      </c>
      <c r="L29" s="123">
        <f t="shared" si="2"/>
        <v>3005</v>
      </c>
      <c r="M29" s="42">
        <v>37.799999999999997</v>
      </c>
      <c r="N29" s="138">
        <f t="shared" si="3"/>
        <v>989.5</v>
      </c>
      <c r="O29" s="125">
        <v>118.5</v>
      </c>
      <c r="P29" s="109">
        <f t="shared" si="4"/>
        <v>1108</v>
      </c>
      <c r="Q29" s="39">
        <f t="shared" si="0"/>
        <v>15.41</v>
      </c>
      <c r="R29" s="39">
        <f t="shared" si="1"/>
        <v>5.6820512820512823</v>
      </c>
      <c r="S29" s="128">
        <f t="shared" si="5"/>
        <v>0.74860335195530725</v>
      </c>
      <c r="T29" s="92">
        <f t="shared" si="6"/>
        <v>3042.8</v>
      </c>
      <c r="U29" s="85"/>
      <c r="W29" s="77"/>
    </row>
    <row r="30" spans="1:75" s="107" customFormat="1" ht="18.75" hidden="1">
      <c r="A30" s="120">
        <v>153</v>
      </c>
      <c r="B30" s="106">
        <v>177</v>
      </c>
      <c r="C30" s="52">
        <v>834.8</v>
      </c>
      <c r="D30" s="52">
        <v>184.8</v>
      </c>
      <c r="E30" s="65">
        <v>358.4</v>
      </c>
      <c r="F30" s="65">
        <v>581.6</v>
      </c>
      <c r="G30" s="65">
        <v>89</v>
      </c>
      <c r="H30" s="66"/>
      <c r="I30" s="66"/>
      <c r="J30" s="96">
        <v>154</v>
      </c>
      <c r="K30" s="97">
        <f>827.1+64</f>
        <v>891.1</v>
      </c>
      <c r="L30" s="123">
        <f t="shared" si="2"/>
        <v>3093.7</v>
      </c>
      <c r="M30" s="42">
        <v>38.200000000000003</v>
      </c>
      <c r="N30" s="138">
        <f t="shared" si="3"/>
        <v>1029</v>
      </c>
      <c r="O30" s="125">
        <v>93</v>
      </c>
      <c r="P30" s="109">
        <f t="shared" si="4"/>
        <v>1122</v>
      </c>
      <c r="Q30" s="39">
        <f t="shared" si="0"/>
        <v>17.478999999999999</v>
      </c>
      <c r="R30" s="39">
        <f t="shared" si="1"/>
        <v>6.3389830508474576</v>
      </c>
      <c r="S30" s="128">
        <f t="shared" si="5"/>
        <v>0.84911343211076018</v>
      </c>
      <c r="T30" s="92">
        <f t="shared" si="6"/>
        <v>3131.8999999999996</v>
      </c>
      <c r="U30" s="85"/>
      <c r="V30" s="80"/>
      <c r="W30" s="77"/>
      <c r="X30" s="80"/>
      <c r="Y30" s="80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</row>
    <row r="31" spans="1:75" ht="18.75" hidden="1">
      <c r="A31" s="7" t="s">
        <v>83</v>
      </c>
      <c r="B31" s="89">
        <v>195</v>
      </c>
      <c r="C31" s="51">
        <v>811.4</v>
      </c>
      <c r="D31" s="51">
        <v>179.7</v>
      </c>
      <c r="E31" s="63">
        <v>375</v>
      </c>
      <c r="F31" s="63">
        <v>598.4</v>
      </c>
      <c r="G31" s="63">
        <v>71.8</v>
      </c>
      <c r="H31" s="64"/>
      <c r="I31" s="64"/>
      <c r="J31" s="108">
        <v>154</v>
      </c>
      <c r="K31" s="6">
        <f>776.3+60.1</f>
        <v>836.4</v>
      </c>
      <c r="L31" s="123">
        <f t="shared" si="2"/>
        <v>3026.7</v>
      </c>
      <c r="M31" s="42">
        <v>38.4</v>
      </c>
      <c r="N31" s="138">
        <f t="shared" si="3"/>
        <v>1045.2</v>
      </c>
      <c r="O31" s="125">
        <v>129.69999999999999</v>
      </c>
      <c r="P31" s="109">
        <f t="shared" si="4"/>
        <v>1174.9000000000001</v>
      </c>
      <c r="Q31" s="39">
        <f t="shared" si="0"/>
        <v>15.522</v>
      </c>
      <c r="R31" s="39">
        <f t="shared" si="1"/>
        <v>6.0251282051282056</v>
      </c>
      <c r="S31" s="128">
        <f t="shared" si="5"/>
        <v>0.75404420694680596</v>
      </c>
      <c r="T31" s="92">
        <f t="shared" si="6"/>
        <v>3065.1</v>
      </c>
      <c r="U31" s="85"/>
      <c r="W31" s="77"/>
    </row>
    <row r="32" spans="1:75" ht="18.75" hidden="1">
      <c r="A32" s="7" t="s">
        <v>84</v>
      </c>
      <c r="B32" s="89">
        <v>179</v>
      </c>
      <c r="C32" s="51">
        <v>741</v>
      </c>
      <c r="D32" s="51">
        <v>164.1</v>
      </c>
      <c r="E32" s="63">
        <v>360.2</v>
      </c>
      <c r="F32" s="63">
        <f>716.3+94.8</f>
        <v>811.09999999999991</v>
      </c>
      <c r="G32" s="63">
        <v>90</v>
      </c>
      <c r="H32" s="64"/>
      <c r="I32" s="64"/>
      <c r="J32" s="108">
        <v>154</v>
      </c>
      <c r="K32" s="6">
        <f>836.3+64.7</f>
        <v>901</v>
      </c>
      <c r="L32" s="123">
        <f t="shared" si="2"/>
        <v>3221.4</v>
      </c>
      <c r="M32" s="42">
        <v>41.6</v>
      </c>
      <c r="N32" s="138">
        <f t="shared" si="3"/>
        <v>1261.3</v>
      </c>
      <c r="O32" s="125">
        <v>113.7</v>
      </c>
      <c r="P32" s="109">
        <f t="shared" si="4"/>
        <v>1375</v>
      </c>
      <c r="Q32" s="39">
        <f t="shared" si="0"/>
        <v>17.997</v>
      </c>
      <c r="R32" s="39">
        <f t="shared" si="1"/>
        <v>7.6815642458100557</v>
      </c>
      <c r="S32" s="128">
        <f t="shared" si="5"/>
        <v>0.8742773864464416</v>
      </c>
      <c r="T32" s="92">
        <f t="shared" si="6"/>
        <v>3263</v>
      </c>
      <c r="U32" s="85"/>
      <c r="W32" s="77"/>
    </row>
    <row r="33" spans="1:75" s="107" customFormat="1" ht="18.75" hidden="1">
      <c r="A33" s="120">
        <v>167</v>
      </c>
      <c r="B33" s="106">
        <v>179</v>
      </c>
      <c r="C33" s="52">
        <v>811.4</v>
      </c>
      <c r="D33" s="52">
        <v>179.7</v>
      </c>
      <c r="E33" s="65">
        <v>385.4</v>
      </c>
      <c r="F33" s="65">
        <f>641+82.7</f>
        <v>723.7</v>
      </c>
      <c r="G33" s="65">
        <v>79.7</v>
      </c>
      <c r="H33" s="66"/>
      <c r="I33" s="66"/>
      <c r="J33" s="96">
        <v>154</v>
      </c>
      <c r="K33" s="97">
        <f>732.6+56.7</f>
        <v>789.30000000000007</v>
      </c>
      <c r="L33" s="123">
        <f t="shared" si="2"/>
        <v>3123.2</v>
      </c>
      <c r="M33" s="42">
        <v>35.9</v>
      </c>
      <c r="N33" s="138">
        <f t="shared" si="3"/>
        <v>1188.8</v>
      </c>
      <c r="O33" s="125">
        <v>127.4</v>
      </c>
      <c r="P33" s="109">
        <f t="shared" si="4"/>
        <v>1316.2</v>
      </c>
      <c r="Q33" s="39">
        <f t="shared" si="0"/>
        <v>17.448</v>
      </c>
      <c r="R33" s="39">
        <f t="shared" si="1"/>
        <v>7.3530726256983243</v>
      </c>
      <c r="S33" s="128">
        <f t="shared" si="5"/>
        <v>0.84760748117561324</v>
      </c>
      <c r="T33" s="92">
        <f t="shared" si="6"/>
        <v>3159.1</v>
      </c>
      <c r="U33" s="85"/>
      <c r="V33" s="80"/>
      <c r="W33" s="77"/>
      <c r="X33" s="80"/>
      <c r="Y33" s="80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</row>
    <row r="34" spans="1:75" ht="18.75" hidden="1">
      <c r="A34" s="7" t="s">
        <v>85</v>
      </c>
      <c r="B34" s="89">
        <v>230</v>
      </c>
      <c r="C34" s="51">
        <v>811.4</v>
      </c>
      <c r="D34" s="51">
        <v>179.7</v>
      </c>
      <c r="E34" s="63">
        <v>353.6</v>
      </c>
      <c r="F34" s="63">
        <f>593.2+71.5</f>
        <v>664.7</v>
      </c>
      <c r="G34" s="63">
        <v>130.69999999999999</v>
      </c>
      <c r="H34" s="64"/>
      <c r="I34" s="64"/>
      <c r="J34" s="108">
        <v>154</v>
      </c>
      <c r="K34" s="6">
        <f>1034.4+80.1</f>
        <v>1114.5</v>
      </c>
      <c r="L34" s="123">
        <f t="shared" si="2"/>
        <v>3408.6</v>
      </c>
      <c r="M34" s="42">
        <v>92.5</v>
      </c>
      <c r="N34" s="138">
        <f t="shared" si="3"/>
        <v>1149</v>
      </c>
      <c r="O34" s="125">
        <v>125.5</v>
      </c>
      <c r="P34" s="109">
        <f t="shared" si="4"/>
        <v>1274.5</v>
      </c>
      <c r="Q34" s="39">
        <f t="shared" si="0"/>
        <v>14.82</v>
      </c>
      <c r="R34" s="39">
        <f t="shared" si="1"/>
        <v>5.5413043478260873</v>
      </c>
      <c r="S34" s="128">
        <f t="shared" si="5"/>
        <v>0.71994170512509104</v>
      </c>
      <c r="T34" s="92">
        <f t="shared" si="6"/>
        <v>3501.1</v>
      </c>
      <c r="U34" s="85"/>
      <c r="W34" s="77"/>
    </row>
    <row r="35" spans="1:75" ht="18.75" hidden="1">
      <c r="A35" s="7" t="s">
        <v>86</v>
      </c>
      <c r="B35" s="89">
        <v>211</v>
      </c>
      <c r="C35" s="51">
        <v>881.7</v>
      </c>
      <c r="D35" s="51">
        <v>195.2</v>
      </c>
      <c r="E35" s="63">
        <v>412.6</v>
      </c>
      <c r="F35" s="63">
        <f>632+79.8</f>
        <v>711.8</v>
      </c>
      <c r="G35" s="63">
        <v>90.1</v>
      </c>
      <c r="H35" s="64"/>
      <c r="I35" s="64"/>
      <c r="J35" s="108">
        <v>154</v>
      </c>
      <c r="K35" s="6">
        <f>988.9+76.6</f>
        <v>1065.5</v>
      </c>
      <c r="L35" s="123">
        <f t="shared" si="2"/>
        <v>3510.9</v>
      </c>
      <c r="M35" s="42">
        <v>39.1</v>
      </c>
      <c r="N35" s="138">
        <f t="shared" si="3"/>
        <v>1214.5</v>
      </c>
      <c r="O35" s="125">
        <v>115.5</v>
      </c>
      <c r="P35" s="109">
        <f t="shared" si="4"/>
        <v>1330</v>
      </c>
      <c r="Q35" s="39">
        <f t="shared" si="0"/>
        <v>16.638999999999999</v>
      </c>
      <c r="R35" s="39">
        <f t="shared" si="1"/>
        <v>6.3033175355450233</v>
      </c>
      <c r="S35" s="128">
        <f t="shared" si="5"/>
        <v>0.80830701967452023</v>
      </c>
      <c r="T35" s="92">
        <f t="shared" si="6"/>
        <v>3550</v>
      </c>
      <c r="U35" s="85"/>
      <c r="W35" s="77"/>
    </row>
    <row r="36" spans="1:75" ht="18.75" hidden="1">
      <c r="A36" s="7" t="s">
        <v>87</v>
      </c>
      <c r="B36" s="89">
        <v>169</v>
      </c>
      <c r="C36" s="51">
        <v>741</v>
      </c>
      <c r="D36" s="51">
        <v>164.1</v>
      </c>
      <c r="E36" s="63">
        <v>360.2</v>
      </c>
      <c r="F36" s="63">
        <f>641.8+82.8</f>
        <v>724.59999999999991</v>
      </c>
      <c r="G36" s="63">
        <v>146.9</v>
      </c>
      <c r="H36" s="64"/>
      <c r="I36" s="64"/>
      <c r="J36" s="108">
        <v>154</v>
      </c>
      <c r="K36" s="6">
        <f>690.9+53.5</f>
        <v>744.4</v>
      </c>
      <c r="L36" s="123">
        <f t="shared" si="2"/>
        <v>3035.2</v>
      </c>
      <c r="M36" s="42">
        <v>0</v>
      </c>
      <c r="N36" s="138">
        <f t="shared" si="3"/>
        <v>1231.7</v>
      </c>
      <c r="O36" s="125">
        <v>108.4</v>
      </c>
      <c r="P36" s="109">
        <f t="shared" si="4"/>
        <v>1340.1000000000001</v>
      </c>
      <c r="Q36" s="39">
        <f t="shared" si="0"/>
        <v>17.96</v>
      </c>
      <c r="R36" s="39">
        <f t="shared" si="1"/>
        <v>7.9295857988165688</v>
      </c>
      <c r="S36" s="128">
        <f t="shared" si="5"/>
        <v>0.87247996113675008</v>
      </c>
      <c r="T36" s="92">
        <f t="shared" si="6"/>
        <v>3035.2</v>
      </c>
      <c r="U36" s="85"/>
      <c r="W36" s="77"/>
    </row>
    <row r="37" spans="1:75" ht="18.75" hidden="1">
      <c r="A37" s="7" t="s">
        <v>88</v>
      </c>
      <c r="B37" s="89">
        <v>198</v>
      </c>
      <c r="C37" s="51">
        <v>811.4</v>
      </c>
      <c r="D37" s="51">
        <v>179.7</v>
      </c>
      <c r="E37" s="63">
        <v>386.4</v>
      </c>
      <c r="F37" s="63">
        <f>709.2+92.8</f>
        <v>802</v>
      </c>
      <c r="G37" s="63">
        <v>110.8</v>
      </c>
      <c r="H37" s="64"/>
      <c r="I37" s="64"/>
      <c r="J37" s="108">
        <v>154</v>
      </c>
      <c r="K37" s="6">
        <f>887.1+68.7</f>
        <v>955.80000000000007</v>
      </c>
      <c r="L37" s="123">
        <f t="shared" si="2"/>
        <v>3400.1</v>
      </c>
      <c r="M37" s="42">
        <v>39.4</v>
      </c>
      <c r="N37" s="138">
        <f t="shared" si="3"/>
        <v>1299.2</v>
      </c>
      <c r="O37" s="125">
        <v>111.6</v>
      </c>
      <c r="P37" s="109">
        <f t="shared" si="4"/>
        <v>1410.8</v>
      </c>
      <c r="Q37" s="39">
        <f t="shared" si="0"/>
        <v>17.172000000000001</v>
      </c>
      <c r="R37" s="39">
        <f t="shared" si="1"/>
        <v>7.1252525252525247</v>
      </c>
      <c r="S37" s="128">
        <f t="shared" si="5"/>
        <v>0.83419965994656298</v>
      </c>
      <c r="T37" s="92">
        <f t="shared" si="6"/>
        <v>3439.5</v>
      </c>
      <c r="U37" s="85"/>
      <c r="W37" s="77"/>
    </row>
    <row r="38" spans="1:75" s="107" customFormat="1" ht="18.75" hidden="1">
      <c r="A38" s="120">
        <v>185</v>
      </c>
      <c r="B38" s="106">
        <v>156</v>
      </c>
      <c r="C38" s="52">
        <v>741</v>
      </c>
      <c r="D38" s="52">
        <v>164.1</v>
      </c>
      <c r="E38" s="65">
        <v>243.6</v>
      </c>
      <c r="F38" s="65">
        <v>668.4</v>
      </c>
      <c r="G38" s="65">
        <v>75.3</v>
      </c>
      <c r="H38" s="66"/>
      <c r="I38" s="66"/>
      <c r="J38" s="96">
        <v>154</v>
      </c>
      <c r="K38" s="97">
        <f>2370.6+183.5</f>
        <v>2554.1</v>
      </c>
      <c r="L38" s="123">
        <f t="shared" si="2"/>
        <v>4600.5</v>
      </c>
      <c r="M38" s="42">
        <v>33.9</v>
      </c>
      <c r="N38" s="138">
        <f t="shared" si="3"/>
        <v>987.3</v>
      </c>
      <c r="O38" s="125">
        <v>121.5</v>
      </c>
      <c r="P38" s="109">
        <f t="shared" si="4"/>
        <v>1108.8</v>
      </c>
      <c r="Q38" s="39">
        <f t="shared" si="0"/>
        <v>29.49</v>
      </c>
      <c r="R38" s="39">
        <f t="shared" si="1"/>
        <v>7.1076923076923073</v>
      </c>
      <c r="S38" s="157">
        <f t="shared" si="5"/>
        <v>1.4325965508865677</v>
      </c>
      <c r="T38" s="92">
        <f t="shared" si="6"/>
        <v>4634.3999999999996</v>
      </c>
      <c r="U38" s="85"/>
      <c r="V38" s="80"/>
      <c r="W38" s="77"/>
      <c r="X38" s="80"/>
      <c r="Y38" s="80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</row>
    <row r="39" spans="1:75" ht="18.75" hidden="1">
      <c r="A39" s="7" t="s">
        <v>89</v>
      </c>
      <c r="B39" s="89">
        <v>196</v>
      </c>
      <c r="C39" s="51">
        <v>952.1</v>
      </c>
      <c r="D39" s="51">
        <v>210.8</v>
      </c>
      <c r="E39" s="63">
        <v>587</v>
      </c>
      <c r="F39" s="63">
        <v>1037.3</v>
      </c>
      <c r="G39" s="63">
        <v>111.6</v>
      </c>
      <c r="H39" s="64"/>
      <c r="I39" s="64"/>
      <c r="J39" s="108">
        <v>229</v>
      </c>
      <c r="K39" s="6">
        <f>919.9+71.3</f>
        <v>991.19999999999993</v>
      </c>
      <c r="L39" s="123">
        <f t="shared" si="2"/>
        <v>4119</v>
      </c>
      <c r="M39" s="42">
        <v>26.4</v>
      </c>
      <c r="N39" s="138">
        <f t="shared" si="3"/>
        <v>1735.8999999999999</v>
      </c>
      <c r="O39" s="125">
        <v>94</v>
      </c>
      <c r="P39" s="109">
        <f t="shared" si="4"/>
        <v>1829.8999999999999</v>
      </c>
      <c r="Q39" s="39">
        <f>ROUND(L39/B39,3)</f>
        <v>21.015000000000001</v>
      </c>
      <c r="R39" s="39">
        <f t="shared" si="1"/>
        <v>9.3362244897959172</v>
      </c>
      <c r="S39" s="157">
        <f>Q39/20.585</f>
        <v>1.0208889968423609</v>
      </c>
      <c r="T39" s="154">
        <f t="shared" si="6"/>
        <v>4145.3999999999996</v>
      </c>
      <c r="U39" s="85"/>
      <c r="W39" s="77"/>
    </row>
    <row r="40" spans="1:75" s="107" customFormat="1" ht="18.75" hidden="1">
      <c r="A40" s="120">
        <v>214</v>
      </c>
      <c r="B40" s="106">
        <v>359</v>
      </c>
      <c r="C40" s="52">
        <v>1116.2</v>
      </c>
      <c r="D40" s="52">
        <v>247.1</v>
      </c>
      <c r="E40" s="65">
        <v>499.3</v>
      </c>
      <c r="F40" s="65">
        <f>1280.8+166.5</f>
        <v>1447.3</v>
      </c>
      <c r="G40" s="65">
        <v>148.5</v>
      </c>
      <c r="H40" s="66"/>
      <c r="I40" s="66"/>
      <c r="J40" s="96">
        <v>199</v>
      </c>
      <c r="K40" s="97">
        <f>1734.3+134.2</f>
        <v>1868.5</v>
      </c>
      <c r="L40" s="123">
        <f t="shared" si="2"/>
        <v>5525.9</v>
      </c>
      <c r="M40" s="42">
        <v>65.7</v>
      </c>
      <c r="N40" s="138">
        <f t="shared" si="3"/>
        <v>2095.1</v>
      </c>
      <c r="O40" s="125">
        <v>150.69999999999999</v>
      </c>
      <c r="P40" s="109">
        <f t="shared" si="4"/>
        <v>2245.7999999999997</v>
      </c>
      <c r="Q40" s="39">
        <f t="shared" si="0"/>
        <v>15.391999999999999</v>
      </c>
      <c r="R40" s="39">
        <f t="shared" si="1"/>
        <v>6.2557103064066846</v>
      </c>
      <c r="S40" s="128">
        <f t="shared" si="5"/>
        <v>0.74772892883167352</v>
      </c>
      <c r="T40" s="92">
        <f t="shared" si="6"/>
        <v>5591.5999999999995</v>
      </c>
      <c r="U40" s="85"/>
      <c r="V40" s="80"/>
      <c r="W40" s="77"/>
      <c r="X40" s="80"/>
      <c r="Y40" s="80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</row>
    <row r="41" spans="1:75" ht="18.75" hidden="1">
      <c r="A41" s="121" t="s">
        <v>90</v>
      </c>
      <c r="B41" s="89">
        <v>217</v>
      </c>
      <c r="C41" s="51">
        <v>881.7</v>
      </c>
      <c r="D41" s="51">
        <v>195.2</v>
      </c>
      <c r="E41" s="63">
        <v>478.1</v>
      </c>
      <c r="F41" s="63">
        <f>734.3+94.3</f>
        <v>828.59999999999991</v>
      </c>
      <c r="G41" s="63">
        <v>111</v>
      </c>
      <c r="H41" s="64"/>
      <c r="I41" s="64"/>
      <c r="J41" s="108">
        <v>154</v>
      </c>
      <c r="K41" s="6">
        <f>923.5+71.5</f>
        <v>995</v>
      </c>
      <c r="L41" s="123">
        <f t="shared" si="2"/>
        <v>3643.6</v>
      </c>
      <c r="M41" s="42">
        <v>33.799999999999997</v>
      </c>
      <c r="N41" s="138">
        <f t="shared" si="3"/>
        <v>1417.6999999999998</v>
      </c>
      <c r="O41" s="125">
        <v>66.7</v>
      </c>
      <c r="P41" s="109">
        <f t="shared" si="4"/>
        <v>1484.3999999999999</v>
      </c>
      <c r="Q41" s="39">
        <f t="shared" si="0"/>
        <v>16.791</v>
      </c>
      <c r="R41" s="39">
        <f t="shared" si="1"/>
        <v>6.8405529953917048</v>
      </c>
      <c r="S41" s="128">
        <f t="shared" si="5"/>
        <v>0.81569103716298275</v>
      </c>
      <c r="T41" s="92">
        <f t="shared" si="6"/>
        <v>3677.4</v>
      </c>
      <c r="U41" s="85"/>
      <c r="W41" s="77"/>
    </row>
    <row r="42" spans="1:75" ht="18.75" hidden="1">
      <c r="A42" s="7" t="s">
        <v>91</v>
      </c>
      <c r="B42" s="89">
        <v>199</v>
      </c>
      <c r="C42" s="51">
        <v>811.4</v>
      </c>
      <c r="D42" s="51">
        <v>179.7</v>
      </c>
      <c r="E42" s="65">
        <v>320</v>
      </c>
      <c r="F42" s="65">
        <v>792.6</v>
      </c>
      <c r="G42" s="65">
        <v>85.3</v>
      </c>
      <c r="H42" s="64"/>
      <c r="I42" s="64"/>
      <c r="J42" s="108">
        <v>154</v>
      </c>
      <c r="K42" s="6">
        <f>852.5+66.1</f>
        <v>918.6</v>
      </c>
      <c r="L42" s="123">
        <f t="shared" si="2"/>
        <v>3261.6</v>
      </c>
      <c r="M42" s="42">
        <v>27.5</v>
      </c>
      <c r="N42" s="138">
        <f t="shared" si="3"/>
        <v>1197.8999999999999</v>
      </c>
      <c r="O42" s="125">
        <v>117.9</v>
      </c>
      <c r="P42" s="109">
        <f t="shared" si="4"/>
        <v>1315.8</v>
      </c>
      <c r="Q42" s="39">
        <f t="shared" si="0"/>
        <v>16.39</v>
      </c>
      <c r="R42" s="39">
        <f t="shared" si="1"/>
        <v>6.6120603015075377</v>
      </c>
      <c r="S42" s="128">
        <f t="shared" si="5"/>
        <v>0.79621083313092056</v>
      </c>
      <c r="T42" s="92">
        <f t="shared" si="6"/>
        <v>3289.1</v>
      </c>
      <c r="U42" s="85"/>
      <c r="W42" s="77"/>
    </row>
    <row r="43" spans="1:75" s="107" customFormat="1" ht="18.75" hidden="1">
      <c r="A43" s="120">
        <v>226</v>
      </c>
      <c r="B43" s="106">
        <v>458</v>
      </c>
      <c r="C43" s="52">
        <v>1397.6</v>
      </c>
      <c r="D43" s="52">
        <v>309.39999999999998</v>
      </c>
      <c r="E43" s="63">
        <v>776.5</v>
      </c>
      <c r="F43" s="63">
        <f>995.5+128.9</f>
        <v>1124.4000000000001</v>
      </c>
      <c r="G43" s="63">
        <v>138.1</v>
      </c>
      <c r="H43" s="66"/>
      <c r="I43" s="66"/>
      <c r="J43" s="96">
        <v>274</v>
      </c>
      <c r="K43" s="97">
        <f>2165.1+167.6</f>
        <v>2332.6999999999998</v>
      </c>
      <c r="L43" s="123">
        <f t="shared" si="2"/>
        <v>6352.7</v>
      </c>
      <c r="M43" s="42">
        <v>60.5</v>
      </c>
      <c r="N43" s="138">
        <f t="shared" si="3"/>
        <v>2039</v>
      </c>
      <c r="O43" s="125">
        <v>194.9</v>
      </c>
      <c r="P43" s="109">
        <f t="shared" si="4"/>
        <v>2233.9</v>
      </c>
      <c r="Q43" s="39">
        <f t="shared" si="0"/>
        <v>13.871</v>
      </c>
      <c r="R43" s="39">
        <f t="shared" si="1"/>
        <v>4.8775109170305679</v>
      </c>
      <c r="S43" s="128">
        <f t="shared" si="5"/>
        <v>0.67384017488462467</v>
      </c>
      <c r="T43" s="154">
        <f t="shared" si="6"/>
        <v>6413.2</v>
      </c>
      <c r="U43" s="85"/>
      <c r="V43" s="80"/>
      <c r="W43" s="77"/>
      <c r="X43" s="80"/>
      <c r="Y43" s="80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</row>
    <row r="44" spans="1:75" ht="18.75" hidden="1">
      <c r="A44" s="7" t="s">
        <v>92</v>
      </c>
      <c r="B44" s="89">
        <v>475</v>
      </c>
      <c r="C44" s="51">
        <v>1397.6</v>
      </c>
      <c r="D44" s="51">
        <v>309.39999999999998</v>
      </c>
      <c r="E44" s="63">
        <v>1057.7</v>
      </c>
      <c r="F44" s="63">
        <f>908.5+116.4</f>
        <v>1024.9000000000001</v>
      </c>
      <c r="G44" s="63">
        <v>218.6</v>
      </c>
      <c r="H44" s="64"/>
      <c r="I44" s="64"/>
      <c r="J44" s="108">
        <v>274</v>
      </c>
      <c r="K44" s="6">
        <f>2179.6+168.8</f>
        <v>2348.4</v>
      </c>
      <c r="L44" s="123">
        <f t="shared" si="2"/>
        <v>6630.6</v>
      </c>
      <c r="M44" s="42">
        <v>63.8</v>
      </c>
      <c r="N44" s="138">
        <f t="shared" si="3"/>
        <v>2301.2000000000003</v>
      </c>
      <c r="O44" s="125">
        <v>153.5</v>
      </c>
      <c r="P44" s="109">
        <f t="shared" si="4"/>
        <v>2454.7000000000003</v>
      </c>
      <c r="Q44" s="39">
        <f t="shared" si="0"/>
        <v>13.959</v>
      </c>
      <c r="R44" s="39">
        <f t="shared" si="1"/>
        <v>5.1677894736842109</v>
      </c>
      <c r="S44" s="128">
        <f t="shared" si="5"/>
        <v>0.67811513237794507</v>
      </c>
      <c r="T44" s="154">
        <f t="shared" si="6"/>
        <v>6694.4000000000005</v>
      </c>
      <c r="U44" s="85"/>
      <c r="W44" s="77"/>
    </row>
    <row r="45" spans="1:75" ht="18.75" hidden="1">
      <c r="A45" s="7" t="s">
        <v>93</v>
      </c>
      <c r="B45" s="89">
        <v>216</v>
      </c>
      <c r="C45" s="51">
        <v>811.4</v>
      </c>
      <c r="D45" s="51">
        <v>179.7</v>
      </c>
      <c r="E45" s="63">
        <v>261.89999999999998</v>
      </c>
      <c r="F45" s="63">
        <f>643.8+83.6</f>
        <v>727.4</v>
      </c>
      <c r="G45" s="63">
        <v>90.4</v>
      </c>
      <c r="H45" s="64"/>
      <c r="I45" s="64"/>
      <c r="J45" s="108">
        <v>154</v>
      </c>
      <c r="K45" s="6">
        <f>1005.2+77.9</f>
        <v>1083.1000000000001</v>
      </c>
      <c r="L45" s="123">
        <f t="shared" si="2"/>
        <v>3307.9</v>
      </c>
      <c r="M45" s="42">
        <v>40</v>
      </c>
      <c r="N45" s="138">
        <f t="shared" si="3"/>
        <v>1079.7</v>
      </c>
      <c r="O45" s="125">
        <v>114.4</v>
      </c>
      <c r="P45" s="109">
        <f t="shared" si="4"/>
        <v>1194.1000000000001</v>
      </c>
      <c r="Q45" s="39">
        <f t="shared" si="0"/>
        <v>15.314</v>
      </c>
      <c r="R45" s="39">
        <f t="shared" si="1"/>
        <v>5.528240740740741</v>
      </c>
      <c r="S45" s="128">
        <f t="shared" si="5"/>
        <v>0.74393976196259415</v>
      </c>
      <c r="T45" s="92">
        <f t="shared" si="6"/>
        <v>3347.9</v>
      </c>
      <c r="U45" s="85"/>
      <c r="W45" s="77"/>
    </row>
    <row r="46" spans="1:75" s="107" customFormat="1" ht="18.75" hidden="1">
      <c r="A46" s="120">
        <v>235</v>
      </c>
      <c r="B46" s="106">
        <v>171</v>
      </c>
      <c r="C46" s="52">
        <v>834.8</v>
      </c>
      <c r="D46" s="52">
        <v>184.8</v>
      </c>
      <c r="E46" s="65">
        <v>390.5</v>
      </c>
      <c r="F46" s="65">
        <v>587.79999999999995</v>
      </c>
      <c r="G46" s="65">
        <v>69.599999999999994</v>
      </c>
      <c r="H46" s="66"/>
      <c r="I46" s="66"/>
      <c r="J46" s="96">
        <v>154</v>
      </c>
      <c r="K46" s="97">
        <f>816.3+63.2</f>
        <v>879.5</v>
      </c>
      <c r="L46" s="123">
        <f t="shared" si="2"/>
        <v>3101</v>
      </c>
      <c r="M46" s="42">
        <v>27.9</v>
      </c>
      <c r="N46" s="138">
        <f t="shared" si="3"/>
        <v>1047.8999999999999</v>
      </c>
      <c r="O46" s="125">
        <v>106</v>
      </c>
      <c r="P46" s="109">
        <f t="shared" si="4"/>
        <v>1153.8999999999999</v>
      </c>
      <c r="Q46" s="39">
        <f t="shared" si="0"/>
        <v>18.135000000000002</v>
      </c>
      <c r="R46" s="39">
        <f t="shared" si="1"/>
        <v>6.7479532163742686</v>
      </c>
      <c r="S46" s="128">
        <f t="shared" si="5"/>
        <v>0.88098129706096673</v>
      </c>
      <c r="T46" s="92">
        <f t="shared" si="6"/>
        <v>3128.9</v>
      </c>
      <c r="U46" s="85"/>
      <c r="V46" s="80"/>
      <c r="W46" s="77"/>
      <c r="X46" s="80"/>
      <c r="Y46" s="80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</row>
    <row r="47" spans="1:75" ht="18.75" hidden="1">
      <c r="A47" s="7" t="s">
        <v>94</v>
      </c>
      <c r="B47" s="89">
        <v>445</v>
      </c>
      <c r="C47" s="51">
        <v>1327.3</v>
      </c>
      <c r="D47" s="51">
        <v>293.89999999999998</v>
      </c>
      <c r="E47" s="63">
        <v>593.5</v>
      </c>
      <c r="F47" s="63">
        <v>1388.2</v>
      </c>
      <c r="G47" s="63">
        <v>185.4</v>
      </c>
      <c r="H47" s="64"/>
      <c r="I47" s="64"/>
      <c r="J47" s="108">
        <v>274</v>
      </c>
      <c r="K47" s="6">
        <f>1837.9+142.3</f>
        <v>1980.2</v>
      </c>
      <c r="L47" s="123">
        <f t="shared" si="2"/>
        <v>6042.5</v>
      </c>
      <c r="M47" s="42">
        <v>60.5</v>
      </c>
      <c r="N47" s="138">
        <f t="shared" si="3"/>
        <v>2167.1</v>
      </c>
      <c r="O47" s="125">
        <v>143</v>
      </c>
      <c r="P47" s="109">
        <f t="shared" si="4"/>
        <v>2310.1</v>
      </c>
      <c r="Q47" s="39">
        <f t="shared" si="0"/>
        <v>13.579000000000001</v>
      </c>
      <c r="R47" s="39">
        <f t="shared" si="1"/>
        <v>5.1912359550561797</v>
      </c>
      <c r="S47" s="128">
        <f t="shared" si="5"/>
        <v>0.6596550886567889</v>
      </c>
      <c r="T47" s="154">
        <f t="shared" si="6"/>
        <v>6103</v>
      </c>
      <c r="U47" s="85"/>
      <c r="W47" s="77"/>
    </row>
    <row r="48" spans="1:75" ht="18.75" hidden="1">
      <c r="A48" s="7" t="s">
        <v>95</v>
      </c>
      <c r="B48" s="89">
        <v>422</v>
      </c>
      <c r="C48" s="51">
        <v>1092.8</v>
      </c>
      <c r="D48" s="51">
        <v>242</v>
      </c>
      <c r="E48" s="63">
        <v>556.70000000000005</v>
      </c>
      <c r="F48" s="63">
        <v>1817.9</v>
      </c>
      <c r="G48" s="63">
        <v>121.9</v>
      </c>
      <c r="H48" s="64"/>
      <c r="I48" s="64"/>
      <c r="J48" s="108">
        <v>187</v>
      </c>
      <c r="K48" s="6">
        <f>1881.6+145.7</f>
        <v>2027.3</v>
      </c>
      <c r="L48" s="123">
        <f t="shared" si="2"/>
        <v>6045.6</v>
      </c>
      <c r="M48" s="42">
        <v>58.1</v>
      </c>
      <c r="N48" s="138">
        <f t="shared" si="3"/>
        <v>2496.5000000000005</v>
      </c>
      <c r="O48" s="125">
        <v>142</v>
      </c>
      <c r="P48" s="109">
        <f t="shared" si="4"/>
        <v>2638.5000000000005</v>
      </c>
      <c r="Q48" s="39">
        <f t="shared" si="0"/>
        <v>14.326000000000001</v>
      </c>
      <c r="R48" s="39">
        <f t="shared" si="1"/>
        <v>6.2523696682464465</v>
      </c>
      <c r="S48" s="128">
        <f t="shared" si="5"/>
        <v>0.69594364828758803</v>
      </c>
      <c r="T48" s="92">
        <f t="shared" si="6"/>
        <v>6103.7000000000007</v>
      </c>
      <c r="U48" s="85"/>
      <c r="W48" s="77"/>
    </row>
    <row r="49" spans="1:75" ht="18.75" hidden="1">
      <c r="A49" s="7" t="s">
        <v>96</v>
      </c>
      <c r="B49" s="89">
        <v>161</v>
      </c>
      <c r="C49" s="51">
        <v>741</v>
      </c>
      <c r="D49" s="51">
        <v>164.1</v>
      </c>
      <c r="E49" s="63">
        <v>666.1</v>
      </c>
      <c r="F49" s="63">
        <v>407.6</v>
      </c>
      <c r="G49" s="63">
        <v>114.6</v>
      </c>
      <c r="H49" s="64"/>
      <c r="I49" s="64"/>
      <c r="J49" s="108">
        <v>154</v>
      </c>
      <c r="K49" s="6">
        <f>843.5+65.4</f>
        <v>908.9</v>
      </c>
      <c r="L49" s="123">
        <f t="shared" si="2"/>
        <v>3156.3</v>
      </c>
      <c r="M49" s="42">
        <v>22.2</v>
      </c>
      <c r="N49" s="138">
        <f t="shared" si="3"/>
        <v>1188.3</v>
      </c>
      <c r="O49" s="125">
        <v>103.8</v>
      </c>
      <c r="P49" s="109">
        <f t="shared" si="4"/>
        <v>1292.0999999999999</v>
      </c>
      <c r="Q49" s="39">
        <f t="shared" si="0"/>
        <v>19.603999999999999</v>
      </c>
      <c r="R49" s="39">
        <f t="shared" si="1"/>
        <v>8.0254658385093158</v>
      </c>
      <c r="S49" s="128">
        <f t="shared" si="5"/>
        <v>0.95234393976196252</v>
      </c>
      <c r="T49" s="92">
        <f t="shared" si="6"/>
        <v>3178.5</v>
      </c>
      <c r="U49" s="85"/>
      <c r="W49" s="77"/>
    </row>
    <row r="50" spans="1:75" s="107" customFormat="1" ht="18.75">
      <c r="A50" s="120">
        <v>40</v>
      </c>
      <c r="B50" s="106">
        <v>51</v>
      </c>
      <c r="C50" s="52">
        <v>655</v>
      </c>
      <c r="D50" s="52">
        <v>145</v>
      </c>
      <c r="E50" s="65">
        <v>149</v>
      </c>
      <c r="F50" s="65">
        <v>246.7</v>
      </c>
      <c r="G50" s="65">
        <v>36.700000000000003</v>
      </c>
      <c r="H50" s="66"/>
      <c r="I50" s="66"/>
      <c r="J50" s="98">
        <v>130</v>
      </c>
      <c r="K50" s="44">
        <f>1068.9+82.8</f>
        <v>1151.7</v>
      </c>
      <c r="L50" s="123">
        <f t="shared" si="2"/>
        <v>2514.1</v>
      </c>
      <c r="M50" s="42">
        <v>20.2</v>
      </c>
      <c r="N50" s="138">
        <f t="shared" si="3"/>
        <v>432.4</v>
      </c>
      <c r="O50" s="125">
        <v>100.5</v>
      </c>
      <c r="P50" s="109">
        <f t="shared" si="4"/>
        <v>532.9</v>
      </c>
      <c r="Q50" s="39">
        <f t="shared" si="0"/>
        <v>49.295999999999999</v>
      </c>
      <c r="R50" s="39">
        <f t="shared" si="1"/>
        <v>10.449019607843137</v>
      </c>
      <c r="S50" s="156">
        <f t="shared" si="5"/>
        <v>2.3947534612581975</v>
      </c>
      <c r="T50" s="92">
        <f t="shared" si="6"/>
        <v>2534.2999999999997</v>
      </c>
      <c r="U50" s="85"/>
      <c r="V50" s="80"/>
      <c r="W50" s="77"/>
      <c r="X50" s="80"/>
      <c r="Y50" s="80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</row>
    <row r="51" spans="1:75" ht="18.75" hidden="1">
      <c r="A51" s="7" t="s">
        <v>97</v>
      </c>
      <c r="B51" s="89">
        <v>164</v>
      </c>
      <c r="C51" s="51">
        <v>866.1</v>
      </c>
      <c r="D51" s="51">
        <v>191.8</v>
      </c>
      <c r="E51" s="63">
        <v>884.2</v>
      </c>
      <c r="F51" s="63">
        <v>520.29999999999995</v>
      </c>
      <c r="G51" s="63">
        <v>100.5</v>
      </c>
      <c r="H51" s="64"/>
      <c r="I51" s="64"/>
      <c r="J51" s="109">
        <v>154</v>
      </c>
      <c r="K51" s="42">
        <f>743.5+57.5</f>
        <v>801</v>
      </c>
      <c r="L51" s="123">
        <f t="shared" si="2"/>
        <v>3517.9</v>
      </c>
      <c r="M51" s="42">
        <v>17.8</v>
      </c>
      <c r="N51" s="138">
        <f t="shared" si="3"/>
        <v>1505</v>
      </c>
      <c r="O51" s="125">
        <v>114.4</v>
      </c>
      <c r="P51" s="109">
        <f t="shared" si="4"/>
        <v>1619.4</v>
      </c>
      <c r="Q51" s="39">
        <f t="shared" si="0"/>
        <v>21.451000000000001</v>
      </c>
      <c r="R51" s="39">
        <f t="shared" si="1"/>
        <v>9.8743902439024396</v>
      </c>
      <c r="S51" s="157">
        <f t="shared" si="5"/>
        <v>1.0420694680592664</v>
      </c>
      <c r="T51" s="92">
        <f t="shared" si="6"/>
        <v>3535.7000000000003</v>
      </c>
      <c r="U51" s="85"/>
      <c r="W51" s="77"/>
    </row>
    <row r="52" spans="1:75" s="107" customFormat="1" ht="18.75" hidden="1">
      <c r="A52" s="120">
        <v>55</v>
      </c>
      <c r="B52" s="106">
        <v>162</v>
      </c>
      <c r="C52" s="52">
        <v>866.1</v>
      </c>
      <c r="D52" s="52">
        <v>191.8</v>
      </c>
      <c r="E52" s="65">
        <v>271</v>
      </c>
      <c r="F52" s="65">
        <v>601.9</v>
      </c>
      <c r="G52" s="65">
        <v>66.2</v>
      </c>
      <c r="H52" s="66"/>
      <c r="I52" s="66"/>
      <c r="J52" s="98">
        <v>154</v>
      </c>
      <c r="K52" s="44">
        <f>2536.1+196.4</f>
        <v>2732.5</v>
      </c>
      <c r="L52" s="123">
        <f t="shared" si="2"/>
        <v>4883.5</v>
      </c>
      <c r="M52" s="42">
        <v>31.7</v>
      </c>
      <c r="N52" s="138">
        <f t="shared" si="3"/>
        <v>939.1</v>
      </c>
      <c r="O52" s="125">
        <v>121.5</v>
      </c>
      <c r="P52" s="109">
        <f t="shared" si="4"/>
        <v>1060.5999999999999</v>
      </c>
      <c r="Q52" s="39">
        <f t="shared" si="0"/>
        <v>30.145</v>
      </c>
      <c r="R52" s="39">
        <f t="shared" si="1"/>
        <v>6.5469135802469127</v>
      </c>
      <c r="S52" s="157">
        <f t="shared" si="5"/>
        <v>1.4644158367743503</v>
      </c>
      <c r="T52" s="92">
        <f t="shared" si="6"/>
        <v>4915.2</v>
      </c>
      <c r="U52" s="85"/>
      <c r="V52" s="80"/>
      <c r="W52" s="77"/>
      <c r="X52" s="80"/>
      <c r="Y52" s="80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</row>
    <row r="53" spans="1:75" ht="18.75" hidden="1">
      <c r="A53" s="7" t="s">
        <v>98</v>
      </c>
      <c r="B53" s="89">
        <v>187</v>
      </c>
      <c r="C53" s="51">
        <v>1286.5999999999999</v>
      </c>
      <c r="D53" s="51">
        <v>284.89999999999998</v>
      </c>
      <c r="E53" s="63">
        <v>319.60000000000002</v>
      </c>
      <c r="F53" s="63">
        <v>516.1</v>
      </c>
      <c r="G53" s="63">
        <v>51.4</v>
      </c>
      <c r="H53" s="64"/>
      <c r="I53" s="64"/>
      <c r="J53" s="109">
        <v>164</v>
      </c>
      <c r="K53" s="42">
        <f>789+61.1</f>
        <v>850.1</v>
      </c>
      <c r="L53" s="123">
        <f t="shared" si="2"/>
        <v>3472.7</v>
      </c>
      <c r="M53" s="42">
        <v>52.8</v>
      </c>
      <c r="N53" s="138">
        <f t="shared" si="3"/>
        <v>887.1</v>
      </c>
      <c r="O53" s="125">
        <v>151.80000000000001</v>
      </c>
      <c r="P53" s="109">
        <f t="shared" si="4"/>
        <v>1038.9000000000001</v>
      </c>
      <c r="Q53" s="39">
        <f t="shared" si="0"/>
        <v>18.571000000000002</v>
      </c>
      <c r="R53" s="39">
        <f t="shared" si="1"/>
        <v>5.5556149732620321</v>
      </c>
      <c r="S53" s="128">
        <f t="shared" si="5"/>
        <v>0.90216176827787231</v>
      </c>
      <c r="T53" s="92">
        <f t="shared" si="6"/>
        <v>3525.5</v>
      </c>
      <c r="U53" s="85"/>
      <c r="W53" s="77"/>
    </row>
    <row r="54" spans="1:75" ht="18.75" hidden="1">
      <c r="A54" s="7" t="s">
        <v>99</v>
      </c>
      <c r="B54" s="89">
        <v>178</v>
      </c>
      <c r="C54" s="51">
        <v>928.6</v>
      </c>
      <c r="D54" s="51">
        <v>205.6</v>
      </c>
      <c r="E54" s="63">
        <v>340.6</v>
      </c>
      <c r="F54" s="63">
        <v>524.9</v>
      </c>
      <c r="G54" s="63">
        <v>77.5</v>
      </c>
      <c r="H54" s="64"/>
      <c r="I54" s="64"/>
      <c r="J54" s="109">
        <v>154</v>
      </c>
      <c r="K54" s="42">
        <f>801.7+62.1</f>
        <v>863.80000000000007</v>
      </c>
      <c r="L54" s="123">
        <f t="shared" si="2"/>
        <v>3095</v>
      </c>
      <c r="M54" s="42">
        <v>26.8</v>
      </c>
      <c r="N54" s="138">
        <f t="shared" si="3"/>
        <v>943</v>
      </c>
      <c r="O54" s="125">
        <v>126.5</v>
      </c>
      <c r="P54" s="109">
        <f t="shared" si="4"/>
        <v>1069.5</v>
      </c>
      <c r="Q54" s="39">
        <f t="shared" si="0"/>
        <v>17.388000000000002</v>
      </c>
      <c r="R54" s="39">
        <f t="shared" si="1"/>
        <v>6.0084269662921352</v>
      </c>
      <c r="S54" s="128">
        <f t="shared" si="5"/>
        <v>0.8446927374301676</v>
      </c>
      <c r="T54" s="92">
        <f t="shared" si="6"/>
        <v>3121.8</v>
      </c>
      <c r="U54" s="85"/>
      <c r="W54" s="77"/>
    </row>
    <row r="55" spans="1:75" ht="18.75" hidden="1">
      <c r="A55" s="7" t="s">
        <v>100</v>
      </c>
      <c r="B55" s="89">
        <v>265</v>
      </c>
      <c r="C55" s="51">
        <v>1217.9000000000001</v>
      </c>
      <c r="D55" s="51">
        <v>269.7</v>
      </c>
      <c r="E55" s="63">
        <v>497.7</v>
      </c>
      <c r="F55" s="63">
        <v>1011.5</v>
      </c>
      <c r="G55" s="63">
        <v>129.5</v>
      </c>
      <c r="H55" s="64"/>
      <c r="I55" s="64"/>
      <c r="J55" s="109">
        <v>168</v>
      </c>
      <c r="K55" s="42">
        <f>1167.1+90.4</f>
        <v>1257.5</v>
      </c>
      <c r="L55" s="123">
        <f t="shared" si="2"/>
        <v>4551.8</v>
      </c>
      <c r="M55" s="42">
        <v>35.6</v>
      </c>
      <c r="N55" s="138">
        <f t="shared" si="3"/>
        <v>1638.7</v>
      </c>
      <c r="O55" s="125">
        <v>132.5</v>
      </c>
      <c r="P55" s="109">
        <f t="shared" si="4"/>
        <v>1771.2</v>
      </c>
      <c r="Q55" s="39">
        <f t="shared" si="0"/>
        <v>17.177</v>
      </c>
      <c r="R55" s="39">
        <f t="shared" si="1"/>
        <v>6.6837735849056603</v>
      </c>
      <c r="S55" s="128">
        <f t="shared" si="5"/>
        <v>0.83444255525868349</v>
      </c>
      <c r="T55" s="92">
        <f t="shared" si="6"/>
        <v>4587.4000000000005</v>
      </c>
      <c r="U55" s="85"/>
      <c r="W55" s="77"/>
    </row>
    <row r="56" spans="1:75" s="107" customFormat="1" ht="18.75">
      <c r="A56" s="120">
        <v>115</v>
      </c>
      <c r="B56" s="106">
        <v>58</v>
      </c>
      <c r="C56" s="52">
        <v>655</v>
      </c>
      <c r="D56" s="52">
        <v>145</v>
      </c>
      <c r="E56" s="65">
        <v>235.8</v>
      </c>
      <c r="F56" s="65">
        <v>390.3</v>
      </c>
      <c r="G56" s="65">
        <v>30.5</v>
      </c>
      <c r="H56" s="66"/>
      <c r="I56" s="66"/>
      <c r="J56" s="98">
        <v>130</v>
      </c>
      <c r="K56" s="44">
        <f>450.9+35</f>
        <v>485.9</v>
      </c>
      <c r="L56" s="123">
        <f t="shared" si="2"/>
        <v>2072.5</v>
      </c>
      <c r="M56" s="42">
        <v>26.7</v>
      </c>
      <c r="N56" s="138">
        <f t="shared" si="3"/>
        <v>656.6</v>
      </c>
      <c r="O56" s="125">
        <v>82.5</v>
      </c>
      <c r="P56" s="109">
        <f t="shared" si="4"/>
        <v>739.1</v>
      </c>
      <c r="Q56" s="39">
        <f t="shared" si="0"/>
        <v>35.732999999999997</v>
      </c>
      <c r="R56" s="39">
        <f t="shared" si="1"/>
        <v>12.743103448275862</v>
      </c>
      <c r="S56" s="157">
        <f t="shared" si="5"/>
        <v>1.735875637600194</v>
      </c>
      <c r="T56" s="92">
        <f t="shared" si="6"/>
        <v>2099.1999999999998</v>
      </c>
      <c r="U56" s="85"/>
      <c r="V56" s="80"/>
      <c r="W56" s="77"/>
      <c r="X56" s="80"/>
      <c r="Y56" s="80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</row>
    <row r="57" spans="1:75" ht="18.75" hidden="1">
      <c r="A57" s="7" t="s">
        <v>101</v>
      </c>
      <c r="B57" s="89">
        <v>190</v>
      </c>
      <c r="C57" s="51">
        <v>999</v>
      </c>
      <c r="D57" s="51">
        <v>221.2</v>
      </c>
      <c r="E57" s="63">
        <v>379.9</v>
      </c>
      <c r="F57" s="63">
        <v>416.3</v>
      </c>
      <c r="G57" s="63">
        <v>58</v>
      </c>
      <c r="H57" s="64"/>
      <c r="I57" s="64"/>
      <c r="J57" s="109">
        <v>154</v>
      </c>
      <c r="K57" s="42">
        <f>919.8+71.2</f>
        <v>991</v>
      </c>
      <c r="L57" s="123">
        <f t="shared" si="2"/>
        <v>3219.4</v>
      </c>
      <c r="M57" s="42">
        <v>29.3</v>
      </c>
      <c r="N57" s="138">
        <f t="shared" si="3"/>
        <v>854.2</v>
      </c>
      <c r="O57" s="125">
        <v>123.5</v>
      </c>
      <c r="P57" s="109">
        <f t="shared" si="4"/>
        <v>977.7</v>
      </c>
      <c r="Q57" s="39">
        <f t="shared" si="0"/>
        <v>16.943999999999999</v>
      </c>
      <c r="R57" s="39">
        <f t="shared" si="1"/>
        <v>5.1457894736842107</v>
      </c>
      <c r="S57" s="128">
        <f t="shared" si="5"/>
        <v>0.82312363371386921</v>
      </c>
      <c r="T57" s="92">
        <f t="shared" si="6"/>
        <v>3248.7000000000003</v>
      </c>
      <c r="U57" s="85"/>
      <c r="W57" s="77"/>
    </row>
    <row r="58" spans="1:75" ht="18.75" hidden="1">
      <c r="A58" s="7" t="s">
        <v>102</v>
      </c>
      <c r="B58" s="89">
        <v>186</v>
      </c>
      <c r="C58" s="51">
        <v>873.9</v>
      </c>
      <c r="D58" s="51">
        <v>193.5</v>
      </c>
      <c r="E58" s="63">
        <v>163.69999999999999</v>
      </c>
      <c r="F58" s="63">
        <v>461.9</v>
      </c>
      <c r="G58" s="63">
        <v>60.3</v>
      </c>
      <c r="H58" s="64"/>
      <c r="I58" s="64"/>
      <c r="J58" s="109">
        <v>154</v>
      </c>
      <c r="K58" s="42">
        <f>781.7+60.6</f>
        <v>842.30000000000007</v>
      </c>
      <c r="L58" s="123">
        <f t="shared" si="2"/>
        <v>2749.6</v>
      </c>
      <c r="M58" s="42">
        <v>32</v>
      </c>
      <c r="N58" s="138">
        <f t="shared" si="3"/>
        <v>685.89999999999986</v>
      </c>
      <c r="O58" s="125">
        <v>120</v>
      </c>
      <c r="P58" s="109">
        <f t="shared" si="4"/>
        <v>805.89999999999986</v>
      </c>
      <c r="Q58" s="39">
        <f t="shared" si="0"/>
        <v>14.782999999999999</v>
      </c>
      <c r="R58" s="39">
        <f t="shared" si="1"/>
        <v>4.3327956989247305</v>
      </c>
      <c r="S58" s="128">
        <f t="shared" si="5"/>
        <v>0.71814427981539952</v>
      </c>
      <c r="T58" s="92">
        <f t="shared" si="6"/>
        <v>2781.6</v>
      </c>
      <c r="U58" s="85"/>
      <c r="W58" s="77"/>
    </row>
    <row r="59" spans="1:75" ht="18.75" hidden="1">
      <c r="A59" s="7" t="s">
        <v>103</v>
      </c>
      <c r="B59" s="89">
        <v>127</v>
      </c>
      <c r="C59" s="51">
        <v>827</v>
      </c>
      <c r="D59" s="51">
        <v>183.1</v>
      </c>
      <c r="E59" s="63">
        <v>189.9</v>
      </c>
      <c r="F59" s="63">
        <v>603.6</v>
      </c>
      <c r="G59" s="63">
        <v>52.3</v>
      </c>
      <c r="H59" s="64"/>
      <c r="I59" s="64"/>
      <c r="J59" s="109">
        <v>150</v>
      </c>
      <c r="K59" s="42">
        <f>676.2+52.4</f>
        <v>728.6</v>
      </c>
      <c r="L59" s="123">
        <f t="shared" si="2"/>
        <v>2734.5</v>
      </c>
      <c r="M59" s="42">
        <v>35.299999999999997</v>
      </c>
      <c r="N59" s="138">
        <f t="shared" si="3"/>
        <v>845.8</v>
      </c>
      <c r="O59" s="125">
        <v>94.8</v>
      </c>
      <c r="P59" s="109">
        <f t="shared" si="4"/>
        <v>940.59999999999991</v>
      </c>
      <c r="Q59" s="39">
        <f t="shared" si="0"/>
        <v>21.530999999999999</v>
      </c>
      <c r="R59" s="39">
        <f t="shared" si="1"/>
        <v>7.4062992125984248</v>
      </c>
      <c r="S59" s="157">
        <f t="shared" si="5"/>
        <v>1.045955793053194</v>
      </c>
      <c r="T59" s="92">
        <f t="shared" si="6"/>
        <v>2769.8</v>
      </c>
      <c r="U59" s="85"/>
      <c r="W59" s="77"/>
    </row>
    <row r="60" spans="1:75" ht="18.75" hidden="1">
      <c r="A60" s="7" t="s">
        <v>104</v>
      </c>
      <c r="B60" s="89">
        <v>222</v>
      </c>
      <c r="C60" s="51">
        <v>1006.8</v>
      </c>
      <c r="D60" s="51">
        <v>222.9</v>
      </c>
      <c r="E60" s="63">
        <f>284.9</f>
        <v>284.89999999999998</v>
      </c>
      <c r="F60" s="63">
        <f>604.9+78.2</f>
        <v>683.1</v>
      </c>
      <c r="G60" s="63">
        <v>57.8</v>
      </c>
      <c r="H60" s="64"/>
      <c r="I60" s="64"/>
      <c r="J60" s="109">
        <v>154</v>
      </c>
      <c r="K60" s="42">
        <f>1030.8+79.8</f>
        <v>1110.5999999999999</v>
      </c>
      <c r="L60" s="123">
        <f t="shared" si="2"/>
        <v>3520.1</v>
      </c>
      <c r="M60" s="42">
        <v>27.8</v>
      </c>
      <c r="N60" s="138">
        <f t="shared" si="3"/>
        <v>1025.8</v>
      </c>
      <c r="O60" s="125">
        <v>119.4</v>
      </c>
      <c r="P60" s="109">
        <f t="shared" si="4"/>
        <v>1145.2</v>
      </c>
      <c r="Q60" s="39">
        <f t="shared" si="0"/>
        <v>15.856</v>
      </c>
      <c r="R60" s="39">
        <f t="shared" si="1"/>
        <v>5.1585585585585587</v>
      </c>
      <c r="S60" s="128">
        <f t="shared" si="5"/>
        <v>0.77026961379645364</v>
      </c>
      <c r="T60" s="92">
        <f t="shared" si="6"/>
        <v>3547.9</v>
      </c>
      <c r="U60" s="85"/>
      <c r="W60" s="77"/>
    </row>
    <row r="61" spans="1:75" ht="18.75" hidden="1">
      <c r="A61" s="7" t="s">
        <v>105</v>
      </c>
      <c r="B61" s="89">
        <v>118</v>
      </c>
      <c r="C61" s="51">
        <v>741</v>
      </c>
      <c r="D61" s="51">
        <v>164.1</v>
      </c>
      <c r="E61" s="63">
        <v>248.9</v>
      </c>
      <c r="F61" s="63">
        <v>450.3</v>
      </c>
      <c r="G61" s="63">
        <v>40.700000000000003</v>
      </c>
      <c r="H61" s="64"/>
      <c r="I61" s="64"/>
      <c r="J61" s="109">
        <v>130</v>
      </c>
      <c r="K61" s="42">
        <f>561.7+43.5</f>
        <v>605.20000000000005</v>
      </c>
      <c r="L61" s="123">
        <f t="shared" si="2"/>
        <v>2380.1999999999998</v>
      </c>
      <c r="M61" s="42">
        <v>18.600000000000001</v>
      </c>
      <c r="N61" s="138">
        <f t="shared" si="3"/>
        <v>739.90000000000009</v>
      </c>
      <c r="O61" s="125">
        <v>102.9</v>
      </c>
      <c r="P61" s="109">
        <f t="shared" si="4"/>
        <v>842.80000000000007</v>
      </c>
      <c r="Q61" s="39">
        <f t="shared" si="0"/>
        <v>20.170999999999999</v>
      </c>
      <c r="R61" s="39">
        <f t="shared" si="1"/>
        <v>7.1423728813559331</v>
      </c>
      <c r="S61" s="128">
        <f t="shared" si="5"/>
        <v>0.97988826815642449</v>
      </c>
      <c r="T61" s="92">
        <f t="shared" si="6"/>
        <v>2398.7999999999997</v>
      </c>
      <c r="U61" s="85"/>
      <c r="W61" s="77"/>
    </row>
    <row r="62" spans="1:75" ht="18.75" hidden="1">
      <c r="A62" s="7" t="s">
        <v>106</v>
      </c>
      <c r="B62" s="89">
        <v>188</v>
      </c>
      <c r="C62" s="51">
        <v>967.7</v>
      </c>
      <c r="D62" s="51">
        <v>214.3</v>
      </c>
      <c r="E62" s="63">
        <v>314.3</v>
      </c>
      <c r="F62" s="63">
        <v>771.6</v>
      </c>
      <c r="G62" s="63">
        <v>94</v>
      </c>
      <c r="H62" s="64"/>
      <c r="I62" s="64"/>
      <c r="J62" s="109">
        <v>154</v>
      </c>
      <c r="K62" s="42">
        <f>861.7+66.7</f>
        <v>928.40000000000009</v>
      </c>
      <c r="L62" s="123">
        <f t="shared" si="2"/>
        <v>3444.3</v>
      </c>
      <c r="M62" s="42">
        <v>35.6</v>
      </c>
      <c r="N62" s="138">
        <f t="shared" si="3"/>
        <v>1179.9000000000001</v>
      </c>
      <c r="O62" s="125">
        <v>139</v>
      </c>
      <c r="P62" s="109">
        <f t="shared" si="4"/>
        <v>1318.9</v>
      </c>
      <c r="Q62" s="39">
        <f t="shared" si="0"/>
        <v>18.321000000000002</v>
      </c>
      <c r="R62" s="39">
        <f t="shared" si="1"/>
        <v>7.0154255319148939</v>
      </c>
      <c r="S62" s="128">
        <f t="shared" si="5"/>
        <v>0.89001700267184847</v>
      </c>
      <c r="T62" s="92">
        <f t="shared" si="6"/>
        <v>3479.9</v>
      </c>
      <c r="U62" s="85"/>
      <c r="W62" s="77"/>
    </row>
    <row r="63" spans="1:75" ht="18.75" hidden="1">
      <c r="A63" s="7" t="s">
        <v>107</v>
      </c>
      <c r="B63" s="89">
        <v>182</v>
      </c>
      <c r="C63" s="51">
        <v>967.7</v>
      </c>
      <c r="D63" s="51">
        <v>214.3</v>
      </c>
      <c r="E63" s="63">
        <v>334</v>
      </c>
      <c r="F63" s="63">
        <v>503</v>
      </c>
      <c r="G63" s="63">
        <v>99.3</v>
      </c>
      <c r="H63" s="64"/>
      <c r="I63" s="64"/>
      <c r="J63" s="109">
        <v>154</v>
      </c>
      <c r="K63" s="42">
        <f>816.2+63.2</f>
        <v>879.40000000000009</v>
      </c>
      <c r="L63" s="123">
        <f t="shared" si="2"/>
        <v>3151.7</v>
      </c>
      <c r="M63" s="42">
        <v>27.6</v>
      </c>
      <c r="N63" s="138">
        <f t="shared" si="3"/>
        <v>936.3</v>
      </c>
      <c r="O63" s="125">
        <v>129.4</v>
      </c>
      <c r="P63" s="109">
        <f t="shared" si="4"/>
        <v>1065.7</v>
      </c>
      <c r="Q63" s="39">
        <f t="shared" si="0"/>
        <v>17.317</v>
      </c>
      <c r="R63" s="39">
        <f t="shared" si="1"/>
        <v>5.855494505494506</v>
      </c>
      <c r="S63" s="128">
        <f t="shared" si="5"/>
        <v>0.84124362399805686</v>
      </c>
      <c r="T63" s="92">
        <f t="shared" si="6"/>
        <v>3179.2999999999997</v>
      </c>
      <c r="U63" s="85"/>
      <c r="W63" s="77"/>
    </row>
    <row r="64" spans="1:75" s="107" customFormat="1" ht="18.75">
      <c r="A64" s="120">
        <v>159</v>
      </c>
      <c r="B64" s="106">
        <v>70</v>
      </c>
      <c r="C64" s="52">
        <v>795.7</v>
      </c>
      <c r="D64" s="52">
        <v>176.2</v>
      </c>
      <c r="E64" s="65">
        <v>275.10000000000002</v>
      </c>
      <c r="F64" s="65">
        <v>488.1</v>
      </c>
      <c r="G64" s="65">
        <v>34.1</v>
      </c>
      <c r="H64" s="66"/>
      <c r="I64" s="66"/>
      <c r="J64" s="98">
        <v>150</v>
      </c>
      <c r="K64" s="44">
        <f>723.6+56</f>
        <v>779.6</v>
      </c>
      <c r="L64" s="123">
        <f t="shared" si="2"/>
        <v>2698.8</v>
      </c>
      <c r="M64" s="42">
        <v>28.5</v>
      </c>
      <c r="N64" s="138">
        <f t="shared" si="3"/>
        <v>797.30000000000007</v>
      </c>
      <c r="O64" s="125">
        <v>115.5</v>
      </c>
      <c r="P64" s="109">
        <f t="shared" si="4"/>
        <v>912.80000000000007</v>
      </c>
      <c r="Q64" s="39">
        <f t="shared" si="0"/>
        <v>38.554000000000002</v>
      </c>
      <c r="R64" s="39">
        <f t="shared" si="1"/>
        <v>13.040000000000001</v>
      </c>
      <c r="S64" s="157">
        <f t="shared" si="5"/>
        <v>1.8729171726985669</v>
      </c>
      <c r="T64" s="92">
        <f t="shared" si="6"/>
        <v>2727.3</v>
      </c>
      <c r="U64" s="85"/>
      <c r="V64" s="80"/>
      <c r="W64" s="77"/>
      <c r="X64" s="80"/>
      <c r="Y64" s="80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</row>
    <row r="65" spans="1:75" ht="18.75" hidden="1">
      <c r="A65" s="7" t="s">
        <v>108</v>
      </c>
      <c r="B65" s="89">
        <v>195</v>
      </c>
      <c r="C65" s="51">
        <v>952.1</v>
      </c>
      <c r="D65" s="51">
        <v>210.8</v>
      </c>
      <c r="E65" s="63">
        <v>322.89999999999998</v>
      </c>
      <c r="F65" s="63">
        <v>769.8</v>
      </c>
      <c r="G65" s="63">
        <v>91.1</v>
      </c>
      <c r="H65" s="64"/>
      <c r="I65" s="64"/>
      <c r="J65" s="109">
        <v>154</v>
      </c>
      <c r="K65" s="42">
        <f>794.4+61.6</f>
        <v>856</v>
      </c>
      <c r="L65" s="123">
        <f t="shared" si="2"/>
        <v>3356.7</v>
      </c>
      <c r="M65" s="42">
        <v>39.5</v>
      </c>
      <c r="N65" s="138">
        <f t="shared" si="3"/>
        <v>1183.7999999999997</v>
      </c>
      <c r="O65" s="125">
        <v>135.80000000000001</v>
      </c>
      <c r="P65" s="109">
        <f t="shared" si="4"/>
        <v>1319.5999999999997</v>
      </c>
      <c r="Q65" s="39">
        <f t="shared" si="0"/>
        <v>17.213999999999999</v>
      </c>
      <c r="R65" s="39">
        <f t="shared" si="1"/>
        <v>6.7671794871794857</v>
      </c>
      <c r="S65" s="128">
        <f t="shared" si="5"/>
        <v>0.8362399805683749</v>
      </c>
      <c r="T65" s="92">
        <f t="shared" si="6"/>
        <v>3396.2</v>
      </c>
      <c r="U65" s="85"/>
      <c r="W65" s="77"/>
    </row>
    <row r="66" spans="1:75" s="107" customFormat="1" ht="18.75">
      <c r="A66" s="120">
        <v>173</v>
      </c>
      <c r="B66" s="106">
        <v>105</v>
      </c>
      <c r="C66" s="52">
        <v>905.2</v>
      </c>
      <c r="D66" s="52">
        <v>200.4</v>
      </c>
      <c r="E66" s="65">
        <v>248.9</v>
      </c>
      <c r="F66" s="65">
        <v>766.3</v>
      </c>
      <c r="G66" s="65">
        <v>61.6</v>
      </c>
      <c r="H66" s="66"/>
      <c r="I66" s="66"/>
      <c r="J66" s="98">
        <v>154</v>
      </c>
      <c r="K66" s="44">
        <f>699.9+54.2</f>
        <v>754.1</v>
      </c>
      <c r="L66" s="123">
        <f t="shared" si="2"/>
        <v>3090.5</v>
      </c>
      <c r="M66" s="42">
        <v>27.6</v>
      </c>
      <c r="N66" s="138">
        <f t="shared" si="3"/>
        <v>1076.8</v>
      </c>
      <c r="O66" s="125">
        <v>119</v>
      </c>
      <c r="P66" s="109">
        <f t="shared" si="4"/>
        <v>1195.8</v>
      </c>
      <c r="Q66" s="39">
        <f t="shared" si="0"/>
        <v>29.433</v>
      </c>
      <c r="R66" s="39">
        <f t="shared" si="1"/>
        <v>11.388571428571428</v>
      </c>
      <c r="S66" s="157">
        <f t="shared" si="5"/>
        <v>1.4298275443283943</v>
      </c>
      <c r="T66" s="92">
        <f t="shared" si="6"/>
        <v>3118.1</v>
      </c>
      <c r="U66" s="85"/>
      <c r="V66" s="80"/>
      <c r="W66" s="77"/>
      <c r="X66" s="80"/>
      <c r="Y66" s="80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</row>
    <row r="67" spans="1:75" ht="18.75" hidden="1">
      <c r="A67" s="7" t="s">
        <v>109</v>
      </c>
      <c r="B67" s="89">
        <v>166</v>
      </c>
      <c r="C67" s="51">
        <v>873.9</v>
      </c>
      <c r="D67" s="51">
        <v>193.5</v>
      </c>
      <c r="E67" s="63">
        <v>390.9</v>
      </c>
      <c r="F67" s="63">
        <v>614.79999999999995</v>
      </c>
      <c r="G67" s="63">
        <v>71.5</v>
      </c>
      <c r="H67" s="64"/>
      <c r="I67" s="64"/>
      <c r="J67" s="109">
        <v>154</v>
      </c>
      <c r="K67" s="42">
        <f>752.6+58.3</f>
        <v>810.9</v>
      </c>
      <c r="L67" s="123">
        <f t="shared" si="2"/>
        <v>3109.5</v>
      </c>
      <c r="M67" s="42">
        <v>24.2</v>
      </c>
      <c r="N67" s="138">
        <f t="shared" si="3"/>
        <v>1077.1999999999998</v>
      </c>
      <c r="O67" s="125">
        <v>124.9</v>
      </c>
      <c r="P67" s="109">
        <f t="shared" si="4"/>
        <v>1202.0999999999999</v>
      </c>
      <c r="Q67" s="39">
        <f t="shared" si="0"/>
        <v>18.731999999999999</v>
      </c>
      <c r="R67" s="39">
        <f t="shared" si="1"/>
        <v>7.2415662650602401</v>
      </c>
      <c r="S67" s="128">
        <f t="shared" si="5"/>
        <v>0.90998299732815147</v>
      </c>
      <c r="T67" s="92">
        <f t="shared" si="6"/>
        <v>3133.7</v>
      </c>
      <c r="U67" s="85"/>
      <c r="W67" s="77"/>
    </row>
    <row r="68" spans="1:75" s="107" customFormat="1" ht="18.75" hidden="1">
      <c r="A68" s="120">
        <v>201</v>
      </c>
      <c r="B68" s="106">
        <v>181</v>
      </c>
      <c r="C68" s="52">
        <v>936.4</v>
      </c>
      <c r="D68" s="52">
        <v>207.3</v>
      </c>
      <c r="E68" s="65">
        <v>343.8</v>
      </c>
      <c r="F68" s="65">
        <v>753.9</v>
      </c>
      <c r="G68" s="65">
        <v>78.5</v>
      </c>
      <c r="H68" s="66"/>
      <c r="I68" s="66"/>
      <c r="J68" s="98">
        <v>154</v>
      </c>
      <c r="K68" s="44">
        <f>856.3+66.4</f>
        <v>922.69999999999993</v>
      </c>
      <c r="L68" s="123">
        <f t="shared" si="2"/>
        <v>3396.6</v>
      </c>
      <c r="M68" s="42">
        <v>33.4</v>
      </c>
      <c r="N68" s="138">
        <f t="shared" si="3"/>
        <v>1176.2</v>
      </c>
      <c r="O68" s="125">
        <v>121.5</v>
      </c>
      <c r="P68" s="109">
        <f t="shared" si="4"/>
        <v>1297.7</v>
      </c>
      <c r="Q68" s="39">
        <f t="shared" si="0"/>
        <v>18.765999999999998</v>
      </c>
      <c r="R68" s="39">
        <f t="shared" si="1"/>
        <v>7.1696132596685089</v>
      </c>
      <c r="S68" s="128">
        <f t="shared" si="5"/>
        <v>0.91163468545057069</v>
      </c>
      <c r="T68" s="92">
        <f t="shared" si="6"/>
        <v>3430</v>
      </c>
      <c r="U68" s="85"/>
      <c r="V68" s="80"/>
      <c r="W68" s="77"/>
      <c r="X68" s="80"/>
      <c r="Y68" s="80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</row>
    <row r="69" spans="1:75" ht="18.75" hidden="1">
      <c r="A69" s="7" t="s">
        <v>110</v>
      </c>
      <c r="B69" s="89">
        <v>194</v>
      </c>
      <c r="C69" s="51">
        <v>913</v>
      </c>
      <c r="D69" s="51">
        <v>202.1</v>
      </c>
      <c r="E69" s="63">
        <v>268.5</v>
      </c>
      <c r="F69" s="63">
        <v>904.5</v>
      </c>
      <c r="G69" s="63">
        <v>86</v>
      </c>
      <c r="H69" s="64"/>
      <c r="I69" s="64"/>
      <c r="J69" s="109">
        <v>154</v>
      </c>
      <c r="K69" s="42">
        <f>843.5+65.3</f>
        <v>908.8</v>
      </c>
      <c r="L69" s="123">
        <f t="shared" si="2"/>
        <v>3436.9</v>
      </c>
      <c r="M69" s="42">
        <v>34</v>
      </c>
      <c r="N69" s="138">
        <f t="shared" si="3"/>
        <v>1259</v>
      </c>
      <c r="O69" s="125">
        <v>134.80000000000001</v>
      </c>
      <c r="P69" s="109">
        <f t="shared" si="4"/>
        <v>1393.8</v>
      </c>
      <c r="Q69" s="39">
        <f t="shared" ref="Q69:Q132" si="7">ROUND(L69/B69,3)</f>
        <v>17.716000000000001</v>
      </c>
      <c r="R69" s="39">
        <f t="shared" ref="R69:R132" si="8">P69/B69</f>
        <v>7.1845360824742261</v>
      </c>
      <c r="S69" s="128">
        <f t="shared" si="5"/>
        <v>0.86062666990527081</v>
      </c>
      <c r="T69" s="92">
        <f t="shared" si="6"/>
        <v>3470.9</v>
      </c>
      <c r="U69" s="85"/>
      <c r="W69" s="77"/>
    </row>
    <row r="70" spans="1:75" ht="18.75" hidden="1">
      <c r="A70" s="7" t="s">
        <v>111</v>
      </c>
      <c r="B70" s="89">
        <v>191</v>
      </c>
      <c r="C70" s="51">
        <v>959.9</v>
      </c>
      <c r="D70" s="51">
        <v>212.5</v>
      </c>
      <c r="E70" s="63">
        <v>406</v>
      </c>
      <c r="F70" s="63">
        <v>908.1</v>
      </c>
      <c r="G70" s="63">
        <v>108.9</v>
      </c>
      <c r="H70" s="64"/>
      <c r="I70" s="64"/>
      <c r="J70" s="109">
        <v>154</v>
      </c>
      <c r="K70" s="42">
        <f>923.5+71.6</f>
        <v>995.1</v>
      </c>
      <c r="L70" s="123">
        <f t="shared" ref="L70:L133" si="9">ROUND(C70+D70+H70+J70+K70+F70+G70+E70,1)</f>
        <v>3744.5</v>
      </c>
      <c r="M70" s="42">
        <v>31.9</v>
      </c>
      <c r="N70" s="138">
        <f t="shared" ref="N70:N133" si="10">E70+F70+G70+H70+I70</f>
        <v>1423</v>
      </c>
      <c r="O70" s="125">
        <v>84.1</v>
      </c>
      <c r="P70" s="109">
        <f t="shared" ref="P70:P133" si="11">N70+O70</f>
        <v>1507.1</v>
      </c>
      <c r="Q70" s="39">
        <f t="shared" si="7"/>
        <v>19.605</v>
      </c>
      <c r="R70" s="39">
        <f t="shared" si="8"/>
        <v>7.8905759162303664</v>
      </c>
      <c r="S70" s="128">
        <f t="shared" ref="S70:S133" si="12">Q70/20.585</f>
        <v>0.95239251882438669</v>
      </c>
      <c r="T70" s="92">
        <f t="shared" ref="T70:T133" si="13">L70+M70</f>
        <v>3776.4</v>
      </c>
      <c r="U70" s="85"/>
      <c r="W70" s="77"/>
    </row>
    <row r="71" spans="1:75" ht="18.75" hidden="1">
      <c r="A71" s="7" t="s">
        <v>112</v>
      </c>
      <c r="B71" s="89">
        <v>235</v>
      </c>
      <c r="C71" s="51">
        <v>1038.0999999999999</v>
      </c>
      <c r="D71" s="51">
        <v>229.8</v>
      </c>
      <c r="E71" s="63">
        <v>543.6</v>
      </c>
      <c r="F71" s="63">
        <v>520.29999999999995</v>
      </c>
      <c r="G71" s="63">
        <v>99.3</v>
      </c>
      <c r="H71" s="64"/>
      <c r="I71" s="64"/>
      <c r="J71" s="109">
        <v>154</v>
      </c>
      <c r="K71" s="42">
        <f>950.7+73.7</f>
        <v>1024.4000000000001</v>
      </c>
      <c r="L71" s="123">
        <f t="shared" si="9"/>
        <v>3609.5</v>
      </c>
      <c r="M71" s="42">
        <v>32</v>
      </c>
      <c r="N71" s="138">
        <f t="shared" si="10"/>
        <v>1163.2</v>
      </c>
      <c r="O71" s="125">
        <v>119.2</v>
      </c>
      <c r="P71" s="109">
        <f t="shared" si="11"/>
        <v>1282.4000000000001</v>
      </c>
      <c r="Q71" s="39">
        <f t="shared" si="7"/>
        <v>15.36</v>
      </c>
      <c r="R71" s="39">
        <f t="shared" si="8"/>
        <v>5.4570212765957447</v>
      </c>
      <c r="S71" s="128">
        <f t="shared" si="12"/>
        <v>0.74617439883410241</v>
      </c>
      <c r="T71" s="92">
        <f t="shared" si="13"/>
        <v>3641.5</v>
      </c>
      <c r="U71" s="85"/>
      <c r="W71" s="77"/>
    </row>
    <row r="72" spans="1:75" ht="18.75" hidden="1">
      <c r="A72" s="7" t="s">
        <v>113</v>
      </c>
      <c r="B72" s="89">
        <v>157</v>
      </c>
      <c r="C72" s="51">
        <v>858.3</v>
      </c>
      <c r="D72" s="51">
        <v>190</v>
      </c>
      <c r="E72" s="63">
        <v>360.2</v>
      </c>
      <c r="F72" s="63">
        <v>437.5</v>
      </c>
      <c r="G72" s="63">
        <v>24.1</v>
      </c>
      <c r="H72" s="64"/>
      <c r="I72" s="64">
        <v>67.599999999999994</v>
      </c>
      <c r="J72" s="109">
        <v>150</v>
      </c>
      <c r="K72" s="42">
        <f>665.4+51.6</f>
        <v>717</v>
      </c>
      <c r="L72" s="123">
        <f>ROUND(C72+D72+H72+J72+K72+F72+G72+E72+I72,1)</f>
        <v>2804.7</v>
      </c>
      <c r="M72" s="42">
        <v>60.4</v>
      </c>
      <c r="N72" s="138">
        <f t="shared" si="10"/>
        <v>889.40000000000009</v>
      </c>
      <c r="O72" s="125">
        <v>90.6</v>
      </c>
      <c r="P72" s="109">
        <f t="shared" si="11"/>
        <v>980.00000000000011</v>
      </c>
      <c r="Q72" s="39">
        <f t="shared" si="7"/>
        <v>17.864000000000001</v>
      </c>
      <c r="R72" s="39">
        <f t="shared" si="8"/>
        <v>6.2420382165605099</v>
      </c>
      <c r="S72" s="128">
        <f t="shared" si="12"/>
        <v>0.86781637114403687</v>
      </c>
      <c r="T72" s="92">
        <f t="shared" si="13"/>
        <v>2865.1</v>
      </c>
      <c r="U72" s="85"/>
      <c r="W72" s="77"/>
    </row>
    <row r="73" spans="1:75" ht="18.75" hidden="1">
      <c r="A73" s="7" t="s">
        <v>114</v>
      </c>
      <c r="B73" s="89">
        <v>123</v>
      </c>
      <c r="C73" s="51">
        <v>772.3</v>
      </c>
      <c r="D73" s="51">
        <v>171</v>
      </c>
      <c r="E73" s="63">
        <v>216.1</v>
      </c>
      <c r="F73" s="63">
        <v>218.7</v>
      </c>
      <c r="G73" s="63">
        <v>33.299999999999997</v>
      </c>
      <c r="H73" s="64"/>
      <c r="I73" s="64"/>
      <c r="J73" s="109">
        <v>130</v>
      </c>
      <c r="K73" s="42">
        <f>472.7+36.6</f>
        <v>509.3</v>
      </c>
      <c r="L73" s="123">
        <f t="shared" si="9"/>
        <v>2050.6999999999998</v>
      </c>
      <c r="M73" s="42">
        <v>17</v>
      </c>
      <c r="N73" s="138">
        <f t="shared" si="10"/>
        <v>468.09999999999997</v>
      </c>
      <c r="O73" s="125">
        <v>80.099999999999994</v>
      </c>
      <c r="P73" s="109">
        <f t="shared" si="11"/>
        <v>548.19999999999993</v>
      </c>
      <c r="Q73" s="39">
        <f t="shared" si="7"/>
        <v>16.672000000000001</v>
      </c>
      <c r="R73" s="39">
        <f t="shared" si="8"/>
        <v>4.4569105691056903</v>
      </c>
      <c r="S73" s="128">
        <f t="shared" si="12"/>
        <v>0.8099101287345154</v>
      </c>
      <c r="T73" s="92">
        <f t="shared" si="13"/>
        <v>2067.6999999999998</v>
      </c>
      <c r="U73" s="85"/>
      <c r="W73" s="77"/>
    </row>
    <row r="74" spans="1:75" ht="18.75" hidden="1">
      <c r="A74" s="7" t="s">
        <v>115</v>
      </c>
      <c r="B74" s="89">
        <v>225</v>
      </c>
      <c r="C74" s="6">
        <v>1038.0999999999999</v>
      </c>
      <c r="D74" s="110">
        <v>229.8</v>
      </c>
      <c r="E74" s="67">
        <v>379.9</v>
      </c>
      <c r="F74" s="64">
        <v>766.5</v>
      </c>
      <c r="G74" s="64">
        <v>79</v>
      </c>
      <c r="H74" s="64"/>
      <c r="I74" s="64"/>
      <c r="J74" s="109">
        <v>154</v>
      </c>
      <c r="K74" s="42">
        <f>1118+86.6</f>
        <v>1204.5999999999999</v>
      </c>
      <c r="L74" s="123">
        <f t="shared" si="9"/>
        <v>3851.9</v>
      </c>
      <c r="M74" s="42">
        <v>36.700000000000003</v>
      </c>
      <c r="N74" s="138">
        <f t="shared" si="10"/>
        <v>1225.4000000000001</v>
      </c>
      <c r="O74" s="125">
        <v>111.7</v>
      </c>
      <c r="P74" s="109">
        <f t="shared" si="11"/>
        <v>1337.1000000000001</v>
      </c>
      <c r="Q74" s="39">
        <f t="shared" si="7"/>
        <v>17.12</v>
      </c>
      <c r="R74" s="39">
        <f t="shared" si="8"/>
        <v>5.9426666666666677</v>
      </c>
      <c r="S74" s="128">
        <f t="shared" si="12"/>
        <v>0.83167354870051013</v>
      </c>
      <c r="T74" s="92">
        <f t="shared" si="13"/>
        <v>3888.6</v>
      </c>
      <c r="U74" s="85"/>
      <c r="W74" s="77"/>
    </row>
    <row r="75" spans="1:75" s="107" customFormat="1" ht="18.75" hidden="1">
      <c r="A75" s="120">
        <v>6</v>
      </c>
      <c r="B75" s="106">
        <v>189</v>
      </c>
      <c r="C75" s="97">
        <v>1700.9</v>
      </c>
      <c r="D75" s="99">
        <v>376.6</v>
      </c>
      <c r="E75" s="68">
        <v>508.4</v>
      </c>
      <c r="F75" s="66">
        <v>1385.6</v>
      </c>
      <c r="G75" s="66">
        <v>165.6</v>
      </c>
      <c r="H75" s="66"/>
      <c r="I75" s="66"/>
      <c r="J75" s="98">
        <v>217</v>
      </c>
      <c r="K75" s="44">
        <f>1487+115.1</f>
        <v>1602.1</v>
      </c>
      <c r="L75" s="123">
        <f t="shared" si="9"/>
        <v>5956.2</v>
      </c>
      <c r="M75" s="42">
        <v>62.6</v>
      </c>
      <c r="N75" s="138">
        <f t="shared" si="10"/>
        <v>2059.6</v>
      </c>
      <c r="O75" s="125">
        <v>171.6</v>
      </c>
      <c r="P75" s="109">
        <f t="shared" si="11"/>
        <v>2231.1999999999998</v>
      </c>
      <c r="Q75" s="39">
        <f t="shared" si="7"/>
        <v>31.513999999999999</v>
      </c>
      <c r="R75" s="39">
        <f t="shared" si="8"/>
        <v>11.805291005291004</v>
      </c>
      <c r="S75" s="157">
        <f t="shared" si="12"/>
        <v>1.5309205732329365</v>
      </c>
      <c r="T75" s="92">
        <f t="shared" si="13"/>
        <v>6018.8</v>
      </c>
      <c r="U75" s="85"/>
      <c r="V75" s="80"/>
      <c r="W75" s="77"/>
      <c r="X75" s="80"/>
      <c r="Y75" s="80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</row>
    <row r="76" spans="1:75" ht="18.75" hidden="1">
      <c r="A76" s="7" t="s">
        <v>116</v>
      </c>
      <c r="B76" s="89">
        <v>190</v>
      </c>
      <c r="C76" s="6">
        <v>881.7</v>
      </c>
      <c r="D76" s="110">
        <v>195.2</v>
      </c>
      <c r="E76" s="67">
        <v>471.5</v>
      </c>
      <c r="F76" s="64">
        <v>523.1</v>
      </c>
      <c r="G76" s="64">
        <v>66</v>
      </c>
      <c r="H76" s="64"/>
      <c r="I76" s="64"/>
      <c r="J76" s="109">
        <v>154</v>
      </c>
      <c r="K76" s="42">
        <f>1012.5+78.4</f>
        <v>1090.9000000000001</v>
      </c>
      <c r="L76" s="123">
        <f t="shared" si="9"/>
        <v>3382.4</v>
      </c>
      <c r="M76" s="42">
        <v>25.3</v>
      </c>
      <c r="N76" s="138">
        <f t="shared" si="10"/>
        <v>1060.5999999999999</v>
      </c>
      <c r="O76" s="125">
        <v>89.8</v>
      </c>
      <c r="P76" s="109">
        <f t="shared" si="11"/>
        <v>1150.3999999999999</v>
      </c>
      <c r="Q76" s="39">
        <f t="shared" si="7"/>
        <v>17.802</v>
      </c>
      <c r="R76" s="39">
        <f t="shared" si="8"/>
        <v>6.0547368421052621</v>
      </c>
      <c r="S76" s="128">
        <f t="shared" si="12"/>
        <v>0.86480446927374299</v>
      </c>
      <c r="T76" s="92">
        <f t="shared" si="13"/>
        <v>3407.7000000000003</v>
      </c>
      <c r="U76" s="85"/>
      <c r="W76" s="77"/>
    </row>
    <row r="77" spans="1:75" ht="18.75" hidden="1">
      <c r="A77" s="7" t="s">
        <v>117</v>
      </c>
      <c r="B77" s="89">
        <v>170</v>
      </c>
      <c r="C77" s="6">
        <v>873.9</v>
      </c>
      <c r="D77" s="110">
        <v>193.5</v>
      </c>
      <c r="E77" s="67">
        <v>442</v>
      </c>
      <c r="F77" s="64">
        <v>346.9</v>
      </c>
      <c r="G77" s="64">
        <v>67.2</v>
      </c>
      <c r="H77" s="64"/>
      <c r="I77" s="64"/>
      <c r="J77" s="109">
        <v>154</v>
      </c>
      <c r="K77" s="42">
        <f>756.3+58.6</f>
        <v>814.9</v>
      </c>
      <c r="L77" s="123">
        <f t="shared" si="9"/>
        <v>2892.4</v>
      </c>
      <c r="M77" s="42">
        <v>24.8</v>
      </c>
      <c r="N77" s="138">
        <f t="shared" si="10"/>
        <v>856.1</v>
      </c>
      <c r="O77" s="125">
        <v>101.5</v>
      </c>
      <c r="P77" s="109">
        <f t="shared" si="11"/>
        <v>957.6</v>
      </c>
      <c r="Q77" s="39">
        <f t="shared" si="7"/>
        <v>17.013999999999999</v>
      </c>
      <c r="R77" s="39">
        <f t="shared" si="8"/>
        <v>5.6329411764705881</v>
      </c>
      <c r="S77" s="128">
        <f t="shared" si="12"/>
        <v>0.82652416808355589</v>
      </c>
      <c r="T77" s="92">
        <f t="shared" si="13"/>
        <v>2917.2000000000003</v>
      </c>
      <c r="U77" s="85"/>
      <c r="W77" s="77"/>
    </row>
    <row r="78" spans="1:75" ht="18.75" hidden="1">
      <c r="A78" s="7" t="s">
        <v>118</v>
      </c>
      <c r="B78" s="89">
        <v>153</v>
      </c>
      <c r="C78" s="6">
        <v>670.7</v>
      </c>
      <c r="D78" s="110">
        <v>148.5</v>
      </c>
      <c r="E78" s="67">
        <v>278.3</v>
      </c>
      <c r="F78" s="64">
        <v>312.2</v>
      </c>
      <c r="G78" s="64">
        <v>32.5</v>
      </c>
      <c r="H78" s="64"/>
      <c r="I78" s="64"/>
      <c r="J78" s="109">
        <v>150</v>
      </c>
      <c r="K78" s="42">
        <f>723.6+56</f>
        <v>779.6</v>
      </c>
      <c r="L78" s="123">
        <f t="shared" si="9"/>
        <v>2371.8000000000002</v>
      </c>
      <c r="M78" s="42">
        <v>34.9</v>
      </c>
      <c r="N78" s="138">
        <f t="shared" si="10"/>
        <v>623</v>
      </c>
      <c r="O78" s="125">
        <v>106.6</v>
      </c>
      <c r="P78" s="109">
        <f t="shared" si="11"/>
        <v>729.6</v>
      </c>
      <c r="Q78" s="39">
        <f t="shared" si="7"/>
        <v>15.502000000000001</v>
      </c>
      <c r="R78" s="39">
        <f t="shared" si="8"/>
        <v>4.7686274509803921</v>
      </c>
      <c r="S78" s="128">
        <f t="shared" si="12"/>
        <v>0.75307262569832401</v>
      </c>
      <c r="T78" s="92">
        <f t="shared" si="13"/>
        <v>2406.7000000000003</v>
      </c>
      <c r="U78" s="85"/>
      <c r="W78" s="77"/>
    </row>
    <row r="79" spans="1:75" ht="18.75" hidden="1">
      <c r="A79" s="7" t="s">
        <v>119</v>
      </c>
      <c r="B79" s="89">
        <v>235</v>
      </c>
      <c r="C79" s="6">
        <v>1038.0999999999999</v>
      </c>
      <c r="D79" s="110">
        <v>229.8</v>
      </c>
      <c r="E79" s="67">
        <v>239</v>
      </c>
      <c r="F79" s="64">
        <v>724.3</v>
      </c>
      <c r="G79" s="64">
        <v>109</v>
      </c>
      <c r="H79" s="64"/>
      <c r="I79" s="64"/>
      <c r="J79" s="109">
        <v>154</v>
      </c>
      <c r="K79" s="42">
        <f>1101.6+85.3</f>
        <v>1186.8999999999999</v>
      </c>
      <c r="L79" s="123">
        <f t="shared" si="9"/>
        <v>3681.1</v>
      </c>
      <c r="M79" s="42">
        <v>34</v>
      </c>
      <c r="N79" s="138">
        <f t="shared" si="10"/>
        <v>1072.3</v>
      </c>
      <c r="O79" s="125">
        <v>114.3</v>
      </c>
      <c r="P79" s="109">
        <f t="shared" si="11"/>
        <v>1186.5999999999999</v>
      </c>
      <c r="Q79" s="39">
        <f t="shared" si="7"/>
        <v>15.664</v>
      </c>
      <c r="R79" s="39">
        <f t="shared" si="8"/>
        <v>5.0493617021276593</v>
      </c>
      <c r="S79" s="128">
        <f t="shared" si="12"/>
        <v>0.76094243381102744</v>
      </c>
      <c r="T79" s="92">
        <f t="shared" si="13"/>
        <v>3715.1</v>
      </c>
      <c r="U79" s="85"/>
      <c r="W79" s="77"/>
    </row>
    <row r="80" spans="1:75" s="107" customFormat="1" ht="18.75" hidden="1">
      <c r="A80" s="120">
        <v>50</v>
      </c>
      <c r="B80" s="106">
        <v>269</v>
      </c>
      <c r="C80" s="97">
        <v>1489.9</v>
      </c>
      <c r="D80" s="99">
        <v>329.9</v>
      </c>
      <c r="E80" s="68">
        <v>548.79999999999995</v>
      </c>
      <c r="F80" s="66">
        <v>780</v>
      </c>
      <c r="G80" s="66">
        <v>102.9</v>
      </c>
      <c r="H80" s="66">
        <v>27.6</v>
      </c>
      <c r="I80" s="66"/>
      <c r="J80" s="98">
        <v>203</v>
      </c>
      <c r="K80" s="44">
        <f>1229+95.1</f>
        <v>1324.1</v>
      </c>
      <c r="L80" s="123">
        <f t="shared" si="9"/>
        <v>4806.2</v>
      </c>
      <c r="M80" s="42">
        <v>42.4</v>
      </c>
      <c r="N80" s="138">
        <f t="shared" si="10"/>
        <v>1459.3</v>
      </c>
      <c r="O80" s="125">
        <v>165</v>
      </c>
      <c r="P80" s="109">
        <f t="shared" si="11"/>
        <v>1624.3</v>
      </c>
      <c r="Q80" s="39">
        <f t="shared" si="7"/>
        <v>17.867000000000001</v>
      </c>
      <c r="R80" s="39">
        <f t="shared" si="8"/>
        <v>6.0382899628252789</v>
      </c>
      <c r="S80" s="128">
        <f t="shared" si="12"/>
        <v>0.86796210833130927</v>
      </c>
      <c r="T80" s="92">
        <f t="shared" si="13"/>
        <v>4848.5999999999995</v>
      </c>
      <c r="U80" s="85"/>
      <c r="V80" s="80"/>
      <c r="W80" s="77"/>
      <c r="X80" s="80"/>
      <c r="Y80" s="80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</row>
    <row r="81" spans="1:75" ht="18.75" hidden="1">
      <c r="A81" s="7" t="s">
        <v>120</v>
      </c>
      <c r="B81" s="89">
        <v>191</v>
      </c>
      <c r="C81" s="6">
        <v>928.6</v>
      </c>
      <c r="D81" s="110">
        <v>205.6</v>
      </c>
      <c r="E81" s="67">
        <v>630.79999999999995</v>
      </c>
      <c r="F81" s="64">
        <v>381.6</v>
      </c>
      <c r="G81" s="64">
        <v>68.400000000000006</v>
      </c>
      <c r="H81" s="64"/>
      <c r="I81" s="64"/>
      <c r="J81" s="109">
        <v>154</v>
      </c>
      <c r="K81" s="42">
        <f>874.4+67.8</f>
        <v>942.19999999999993</v>
      </c>
      <c r="L81" s="123">
        <f t="shared" si="9"/>
        <v>3311.2</v>
      </c>
      <c r="M81" s="42">
        <v>25.7</v>
      </c>
      <c r="N81" s="138">
        <f t="shared" si="10"/>
        <v>1080.8</v>
      </c>
      <c r="O81" s="125">
        <v>116.1</v>
      </c>
      <c r="P81" s="109">
        <f t="shared" si="11"/>
        <v>1196.8999999999999</v>
      </c>
      <c r="Q81" s="39">
        <f t="shared" si="7"/>
        <v>17.335999999999999</v>
      </c>
      <c r="R81" s="39">
        <f t="shared" si="8"/>
        <v>6.2664921465968577</v>
      </c>
      <c r="S81" s="128">
        <f t="shared" si="12"/>
        <v>0.84216662618411453</v>
      </c>
      <c r="T81" s="92">
        <f t="shared" si="13"/>
        <v>3336.8999999999996</v>
      </c>
      <c r="U81" s="85"/>
      <c r="W81" s="77"/>
    </row>
    <row r="82" spans="1:75" ht="18.75" hidden="1">
      <c r="A82" s="7" t="s">
        <v>121</v>
      </c>
      <c r="B82" s="89">
        <v>201</v>
      </c>
      <c r="C82" s="6">
        <v>1030.3</v>
      </c>
      <c r="D82" s="110">
        <v>228.1</v>
      </c>
      <c r="E82" s="67">
        <v>456</v>
      </c>
      <c r="F82" s="64">
        <v>312.2</v>
      </c>
      <c r="G82" s="64">
        <v>83</v>
      </c>
      <c r="H82" s="64"/>
      <c r="I82" s="64"/>
      <c r="J82" s="109">
        <v>154</v>
      </c>
      <c r="K82" s="42">
        <f>952.6+73.7</f>
        <v>1026.3</v>
      </c>
      <c r="L82" s="123">
        <f t="shared" si="9"/>
        <v>3289.9</v>
      </c>
      <c r="M82" s="42">
        <v>30.4</v>
      </c>
      <c r="N82" s="138">
        <f t="shared" si="10"/>
        <v>851.2</v>
      </c>
      <c r="O82" s="125">
        <v>109.4</v>
      </c>
      <c r="P82" s="109">
        <f t="shared" si="11"/>
        <v>960.6</v>
      </c>
      <c r="Q82" s="39">
        <f t="shared" si="7"/>
        <v>16.367999999999999</v>
      </c>
      <c r="R82" s="39">
        <f t="shared" si="8"/>
        <v>4.7791044776119405</v>
      </c>
      <c r="S82" s="128">
        <f t="shared" si="12"/>
        <v>0.79514209375759037</v>
      </c>
      <c r="T82" s="92">
        <f t="shared" si="13"/>
        <v>3320.3</v>
      </c>
      <c r="U82" s="85"/>
      <c r="W82" s="77"/>
    </row>
    <row r="83" spans="1:75" s="107" customFormat="1" ht="18.75" hidden="1">
      <c r="A83" s="120">
        <v>91</v>
      </c>
      <c r="B83" s="106">
        <v>243</v>
      </c>
      <c r="C83" s="97">
        <v>1411.7</v>
      </c>
      <c r="D83" s="99">
        <v>312.60000000000002</v>
      </c>
      <c r="E83" s="68">
        <v>465</v>
      </c>
      <c r="F83" s="66">
        <f>709.1+91.9</f>
        <v>801</v>
      </c>
      <c r="G83" s="66">
        <v>72</v>
      </c>
      <c r="H83" s="66"/>
      <c r="I83" s="66"/>
      <c r="J83" s="98">
        <v>208</v>
      </c>
      <c r="K83" s="44">
        <f>1196.2+92.5</f>
        <v>1288.7</v>
      </c>
      <c r="L83" s="123">
        <f t="shared" si="9"/>
        <v>4559</v>
      </c>
      <c r="M83" s="42">
        <v>52.1</v>
      </c>
      <c r="N83" s="138">
        <f t="shared" si="10"/>
        <v>1338</v>
      </c>
      <c r="O83" s="125">
        <v>177.4</v>
      </c>
      <c r="P83" s="109">
        <f t="shared" si="11"/>
        <v>1515.4</v>
      </c>
      <c r="Q83" s="39">
        <f t="shared" si="7"/>
        <v>18.760999999999999</v>
      </c>
      <c r="R83" s="39">
        <f t="shared" si="8"/>
        <v>6.2362139917695476</v>
      </c>
      <c r="S83" s="128">
        <f t="shared" si="12"/>
        <v>0.91139179013845029</v>
      </c>
      <c r="T83" s="92">
        <f t="shared" si="13"/>
        <v>4611.1000000000004</v>
      </c>
      <c r="U83" s="85"/>
      <c r="V83" s="80"/>
      <c r="W83" s="77"/>
      <c r="X83" s="80"/>
      <c r="Y83" s="80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</row>
    <row r="84" spans="1:75" ht="18.75" hidden="1">
      <c r="A84" s="7" t="s">
        <v>122</v>
      </c>
      <c r="B84" s="89">
        <v>182</v>
      </c>
      <c r="C84" s="6">
        <v>873.9</v>
      </c>
      <c r="D84" s="110">
        <v>193.5</v>
      </c>
      <c r="E84" s="67">
        <v>350.4</v>
      </c>
      <c r="F84" s="64">
        <v>530</v>
      </c>
      <c r="G84" s="64">
        <v>138.6</v>
      </c>
      <c r="H84" s="64"/>
      <c r="I84" s="64"/>
      <c r="J84" s="109">
        <v>154</v>
      </c>
      <c r="K84" s="42">
        <f>761.7+59</f>
        <v>820.7</v>
      </c>
      <c r="L84" s="123">
        <f t="shared" si="9"/>
        <v>3061.1</v>
      </c>
      <c r="M84" s="42">
        <v>45.6</v>
      </c>
      <c r="N84" s="138">
        <f t="shared" si="10"/>
        <v>1019</v>
      </c>
      <c r="O84" s="125">
        <v>125</v>
      </c>
      <c r="P84" s="109">
        <f t="shared" si="11"/>
        <v>1144</v>
      </c>
      <c r="Q84" s="39">
        <f t="shared" si="7"/>
        <v>16.818999999999999</v>
      </c>
      <c r="R84" s="39">
        <f t="shared" si="8"/>
        <v>6.2857142857142856</v>
      </c>
      <c r="S84" s="128">
        <f t="shared" si="12"/>
        <v>0.8170512509108574</v>
      </c>
      <c r="T84" s="92">
        <f t="shared" si="13"/>
        <v>3106.7</v>
      </c>
      <c r="U84" s="85"/>
      <c r="W84" s="77"/>
    </row>
    <row r="85" spans="1:75" ht="18.75" hidden="1">
      <c r="A85" s="7" t="s">
        <v>123</v>
      </c>
      <c r="B85" s="89">
        <v>495</v>
      </c>
      <c r="C85" s="6">
        <v>1810.4</v>
      </c>
      <c r="D85" s="110">
        <v>400.8</v>
      </c>
      <c r="E85" s="67">
        <v>723.7</v>
      </c>
      <c r="F85" s="64">
        <v>1812.6</v>
      </c>
      <c r="G85" s="64">
        <v>235.6</v>
      </c>
      <c r="H85" s="64"/>
      <c r="I85" s="64"/>
      <c r="J85" s="109">
        <v>259.60000000000002</v>
      </c>
      <c r="K85" s="42">
        <f>2303.3+178.3</f>
        <v>2481.6000000000004</v>
      </c>
      <c r="L85" s="123">
        <f t="shared" si="9"/>
        <v>7724.3</v>
      </c>
      <c r="M85" s="42">
        <v>76.7</v>
      </c>
      <c r="N85" s="138">
        <f t="shared" si="10"/>
        <v>2771.9</v>
      </c>
      <c r="O85" s="125">
        <v>189.7</v>
      </c>
      <c r="P85" s="109">
        <f t="shared" si="11"/>
        <v>2961.6</v>
      </c>
      <c r="Q85" s="39">
        <f t="shared" si="7"/>
        <v>15.605</v>
      </c>
      <c r="R85" s="39">
        <f t="shared" si="8"/>
        <v>5.9830303030303025</v>
      </c>
      <c r="S85" s="128">
        <f t="shared" si="12"/>
        <v>0.75807626912800585</v>
      </c>
      <c r="T85" s="92">
        <f t="shared" si="13"/>
        <v>7801</v>
      </c>
      <c r="U85" s="85"/>
      <c r="W85" s="77"/>
    </row>
    <row r="86" spans="1:75" ht="18.75" hidden="1">
      <c r="A86" s="7" t="s">
        <v>124</v>
      </c>
      <c r="B86" s="89">
        <v>185</v>
      </c>
      <c r="C86" s="6">
        <v>905.2</v>
      </c>
      <c r="D86" s="110">
        <v>200.4</v>
      </c>
      <c r="E86" s="67">
        <v>615.6</v>
      </c>
      <c r="F86" s="64">
        <v>468.3</v>
      </c>
      <c r="G86" s="64">
        <v>70.900000000000006</v>
      </c>
      <c r="H86" s="64"/>
      <c r="I86" s="64"/>
      <c r="J86" s="109">
        <v>154</v>
      </c>
      <c r="K86" s="42">
        <f>790.7+61.3</f>
        <v>852</v>
      </c>
      <c r="L86" s="123">
        <f t="shared" si="9"/>
        <v>3266.4</v>
      </c>
      <c r="M86" s="42">
        <v>26.2</v>
      </c>
      <c r="N86" s="138">
        <f t="shared" si="10"/>
        <v>1154.8000000000002</v>
      </c>
      <c r="O86" s="125">
        <v>126</v>
      </c>
      <c r="P86" s="109">
        <f t="shared" si="11"/>
        <v>1280.8000000000002</v>
      </c>
      <c r="Q86" s="39">
        <f t="shared" si="7"/>
        <v>17.655999999999999</v>
      </c>
      <c r="R86" s="39">
        <f t="shared" si="8"/>
        <v>6.9232432432432445</v>
      </c>
      <c r="S86" s="128">
        <f t="shared" si="12"/>
        <v>0.85771192615982506</v>
      </c>
      <c r="T86" s="92">
        <f t="shared" si="13"/>
        <v>3292.6</v>
      </c>
      <c r="U86" s="85"/>
      <c r="W86" s="77"/>
    </row>
    <row r="87" spans="1:75" ht="18.75" hidden="1">
      <c r="A87" s="7" t="s">
        <v>125</v>
      </c>
      <c r="B87" s="89">
        <v>197</v>
      </c>
      <c r="C87" s="6">
        <v>952.1</v>
      </c>
      <c r="D87" s="110">
        <v>210.8</v>
      </c>
      <c r="E87" s="67">
        <v>523.9</v>
      </c>
      <c r="F87" s="64">
        <v>398.9</v>
      </c>
      <c r="G87" s="64">
        <v>70.900000000000006</v>
      </c>
      <c r="H87" s="64"/>
      <c r="I87" s="64"/>
      <c r="J87" s="109">
        <v>154</v>
      </c>
      <c r="K87" s="42">
        <f>1032.5+80</f>
        <v>1112.5</v>
      </c>
      <c r="L87" s="123">
        <f t="shared" si="9"/>
        <v>3423.1</v>
      </c>
      <c r="M87" s="42">
        <v>25.2</v>
      </c>
      <c r="N87" s="138">
        <f t="shared" si="10"/>
        <v>993.69999999999993</v>
      </c>
      <c r="O87" s="125">
        <v>117.8</v>
      </c>
      <c r="P87" s="109">
        <f t="shared" si="11"/>
        <v>1111.5</v>
      </c>
      <c r="Q87" s="39">
        <f t="shared" si="7"/>
        <v>17.376000000000001</v>
      </c>
      <c r="R87" s="39">
        <f t="shared" si="8"/>
        <v>5.6421319796954315</v>
      </c>
      <c r="S87" s="128">
        <f t="shared" si="12"/>
        <v>0.84410978868107844</v>
      </c>
      <c r="T87" s="92">
        <f t="shared" si="13"/>
        <v>3448.2999999999997</v>
      </c>
      <c r="U87" s="85"/>
      <c r="W87" s="77"/>
    </row>
    <row r="88" spans="1:75" ht="18.75" hidden="1">
      <c r="A88" s="7" t="s">
        <v>126</v>
      </c>
      <c r="B88" s="89">
        <v>417</v>
      </c>
      <c r="C88" s="6">
        <v>1724.4</v>
      </c>
      <c r="D88" s="110">
        <v>381.8</v>
      </c>
      <c r="E88" s="67">
        <v>607.5</v>
      </c>
      <c r="F88" s="64">
        <v>1419</v>
      </c>
      <c r="G88" s="64">
        <v>162.5</v>
      </c>
      <c r="H88" s="64"/>
      <c r="I88" s="64"/>
      <c r="J88" s="109">
        <v>239</v>
      </c>
      <c r="K88" s="42">
        <f>1961.5+151.9</f>
        <v>2113.4</v>
      </c>
      <c r="L88" s="123">
        <f t="shared" si="9"/>
        <v>6647.6</v>
      </c>
      <c r="M88" s="42">
        <v>27.6</v>
      </c>
      <c r="N88" s="138">
        <f t="shared" si="10"/>
        <v>2189</v>
      </c>
      <c r="O88" s="125">
        <v>203</v>
      </c>
      <c r="P88" s="109">
        <f t="shared" si="11"/>
        <v>2392</v>
      </c>
      <c r="Q88" s="39">
        <f t="shared" si="7"/>
        <v>15.941000000000001</v>
      </c>
      <c r="R88" s="39">
        <f t="shared" si="8"/>
        <v>5.7362110311750598</v>
      </c>
      <c r="S88" s="128">
        <f t="shared" si="12"/>
        <v>0.77439883410250188</v>
      </c>
      <c r="T88" s="92">
        <f t="shared" si="13"/>
        <v>6675.2000000000007</v>
      </c>
      <c r="U88" s="85"/>
      <c r="W88" s="77"/>
    </row>
    <row r="89" spans="1:75" ht="18.75" hidden="1">
      <c r="A89" s="7" t="s">
        <v>127</v>
      </c>
      <c r="B89" s="89">
        <v>286</v>
      </c>
      <c r="C89" s="6">
        <v>1599.3</v>
      </c>
      <c r="D89" s="110">
        <v>354.1</v>
      </c>
      <c r="E89" s="67">
        <v>632.29999999999995</v>
      </c>
      <c r="F89" s="64">
        <v>640.79999999999995</v>
      </c>
      <c r="G89" s="64">
        <v>98.1</v>
      </c>
      <c r="H89" s="64"/>
      <c r="I89" s="64"/>
      <c r="J89" s="109">
        <v>203</v>
      </c>
      <c r="K89" s="42">
        <f>1343.5+104</f>
        <v>1447.5</v>
      </c>
      <c r="L89" s="123">
        <f t="shared" si="9"/>
        <v>4975.1000000000004</v>
      </c>
      <c r="M89" s="42">
        <v>32.9</v>
      </c>
      <c r="N89" s="138">
        <f t="shared" si="10"/>
        <v>1371.1999999999998</v>
      </c>
      <c r="O89" s="125">
        <v>144.4</v>
      </c>
      <c r="P89" s="109">
        <f t="shared" si="11"/>
        <v>1515.6</v>
      </c>
      <c r="Q89" s="39">
        <f t="shared" si="7"/>
        <v>17.395</v>
      </c>
      <c r="R89" s="39">
        <f t="shared" si="8"/>
        <v>5.2993006993006988</v>
      </c>
      <c r="S89" s="128">
        <f t="shared" si="12"/>
        <v>0.84503279086713623</v>
      </c>
      <c r="T89" s="92">
        <f t="shared" si="13"/>
        <v>5008</v>
      </c>
      <c r="U89" s="85"/>
      <c r="W89" s="77"/>
    </row>
    <row r="90" spans="1:75" ht="18.75" hidden="1">
      <c r="A90" s="7" t="s">
        <v>128</v>
      </c>
      <c r="B90" s="89">
        <v>223</v>
      </c>
      <c r="C90" s="6">
        <v>991.2</v>
      </c>
      <c r="D90" s="110">
        <v>219.5</v>
      </c>
      <c r="E90" s="67">
        <v>419.1</v>
      </c>
      <c r="F90" s="64">
        <v>890.3</v>
      </c>
      <c r="G90" s="64">
        <v>71.2</v>
      </c>
      <c r="H90" s="64"/>
      <c r="I90" s="64"/>
      <c r="J90" s="109">
        <v>154</v>
      </c>
      <c r="K90" s="42">
        <f>1208.9+93.6</f>
        <v>1302.5</v>
      </c>
      <c r="L90" s="123">
        <f t="shared" si="9"/>
        <v>4047.8</v>
      </c>
      <c r="M90" s="42">
        <v>49</v>
      </c>
      <c r="N90" s="138">
        <f t="shared" si="10"/>
        <v>1380.6000000000001</v>
      </c>
      <c r="O90" s="125">
        <v>116.4</v>
      </c>
      <c r="P90" s="109">
        <f t="shared" si="11"/>
        <v>1497.0000000000002</v>
      </c>
      <c r="Q90" s="39">
        <f t="shared" si="7"/>
        <v>18.152000000000001</v>
      </c>
      <c r="R90" s="39">
        <f t="shared" si="8"/>
        <v>6.7130044843049337</v>
      </c>
      <c r="S90" s="128">
        <f t="shared" si="12"/>
        <v>0.8818071411221764</v>
      </c>
      <c r="T90" s="92">
        <f t="shared" si="13"/>
        <v>4096.8</v>
      </c>
      <c r="U90" s="85"/>
      <c r="W90" s="77"/>
    </row>
    <row r="91" spans="1:75" ht="18.75" hidden="1">
      <c r="A91" s="7" t="s">
        <v>129</v>
      </c>
      <c r="B91" s="89">
        <v>113</v>
      </c>
      <c r="C91" s="42">
        <v>741</v>
      </c>
      <c r="D91" s="42">
        <v>164.1</v>
      </c>
      <c r="E91" s="67">
        <v>393</v>
      </c>
      <c r="F91" s="64">
        <v>433.7</v>
      </c>
      <c r="G91" s="64">
        <v>74.599999999999994</v>
      </c>
      <c r="H91" s="64"/>
      <c r="I91" s="64"/>
      <c r="J91" s="109">
        <v>130</v>
      </c>
      <c r="K91" s="42">
        <f>485.4+37.6</f>
        <v>523</v>
      </c>
      <c r="L91" s="123">
        <f t="shared" si="9"/>
        <v>2459.4</v>
      </c>
      <c r="M91" s="42">
        <v>27</v>
      </c>
      <c r="N91" s="138">
        <f t="shared" si="10"/>
        <v>901.30000000000007</v>
      </c>
      <c r="O91" s="125">
        <v>95.2</v>
      </c>
      <c r="P91" s="109">
        <f t="shared" si="11"/>
        <v>996.50000000000011</v>
      </c>
      <c r="Q91" s="39">
        <f t="shared" si="7"/>
        <v>21.765000000000001</v>
      </c>
      <c r="R91" s="39">
        <f t="shared" si="8"/>
        <v>8.8185840707964616</v>
      </c>
      <c r="S91" s="157">
        <f t="shared" si="12"/>
        <v>1.0573232936604324</v>
      </c>
      <c r="T91" s="92">
        <f t="shared" si="13"/>
        <v>2486.4</v>
      </c>
      <c r="U91" s="85"/>
      <c r="W91" s="77"/>
    </row>
    <row r="92" spans="1:75" ht="18.75" hidden="1">
      <c r="A92" s="7" t="s">
        <v>130</v>
      </c>
      <c r="B92" s="89">
        <v>358</v>
      </c>
      <c r="C92" s="42">
        <v>1358.6</v>
      </c>
      <c r="D92" s="42">
        <v>300.8</v>
      </c>
      <c r="E92" s="67">
        <v>609</v>
      </c>
      <c r="F92" s="64">
        <f>1131.3+139.7</f>
        <v>1271</v>
      </c>
      <c r="G92" s="64">
        <v>182.4</v>
      </c>
      <c r="H92" s="64"/>
      <c r="I92" s="64"/>
      <c r="J92" s="109">
        <v>199</v>
      </c>
      <c r="K92" s="42">
        <f>1577.9+122.2</f>
        <v>1700.1000000000001</v>
      </c>
      <c r="L92" s="123">
        <f t="shared" si="9"/>
        <v>5620.9</v>
      </c>
      <c r="M92" s="42">
        <v>50</v>
      </c>
      <c r="N92" s="138">
        <f t="shared" si="10"/>
        <v>2062.4</v>
      </c>
      <c r="O92" s="125">
        <v>124.4</v>
      </c>
      <c r="P92" s="109">
        <f t="shared" si="11"/>
        <v>2186.8000000000002</v>
      </c>
      <c r="Q92" s="39">
        <f t="shared" si="7"/>
        <v>15.701000000000001</v>
      </c>
      <c r="R92" s="39">
        <f t="shared" si="8"/>
        <v>6.108379888268157</v>
      </c>
      <c r="S92" s="128">
        <f t="shared" si="12"/>
        <v>0.76273985912071895</v>
      </c>
      <c r="T92" s="92">
        <f t="shared" si="13"/>
        <v>5670.9</v>
      </c>
      <c r="U92" s="85"/>
      <c r="W92" s="77"/>
    </row>
    <row r="93" spans="1:75" ht="18.75" hidden="1">
      <c r="A93" s="7" t="s">
        <v>131</v>
      </c>
      <c r="B93" s="89">
        <v>488</v>
      </c>
      <c r="C93" s="42">
        <v>1600.9</v>
      </c>
      <c r="D93" s="42">
        <v>354.5</v>
      </c>
      <c r="E93" s="67">
        <v>886.9</v>
      </c>
      <c r="F93" s="64">
        <f>1854.2+253.6</f>
        <v>2107.8000000000002</v>
      </c>
      <c r="G93" s="64">
        <v>361.4</v>
      </c>
      <c r="H93" s="64"/>
      <c r="I93" s="64"/>
      <c r="J93" s="109">
        <v>240</v>
      </c>
      <c r="K93" s="42">
        <f>2176.1+168.5</f>
        <v>2344.6</v>
      </c>
      <c r="L93" s="123">
        <f t="shared" si="9"/>
        <v>7896.1</v>
      </c>
      <c r="M93" s="42">
        <v>78.7</v>
      </c>
      <c r="N93" s="138">
        <f t="shared" si="10"/>
        <v>3356.1000000000004</v>
      </c>
      <c r="O93" s="125">
        <v>151</v>
      </c>
      <c r="P93" s="109">
        <f t="shared" si="11"/>
        <v>3507.1000000000004</v>
      </c>
      <c r="Q93" s="155">
        <f t="shared" si="7"/>
        <v>16.181000000000001</v>
      </c>
      <c r="R93" s="39">
        <f t="shared" si="8"/>
        <v>7.1866803278688529</v>
      </c>
      <c r="S93" s="128">
        <f t="shared" si="12"/>
        <v>0.78605780908428469</v>
      </c>
      <c r="T93" s="154">
        <f t="shared" si="13"/>
        <v>7974.8</v>
      </c>
      <c r="U93" s="85"/>
      <c r="W93" s="77"/>
    </row>
    <row r="94" spans="1:75" s="107" customFormat="1" ht="18.75" hidden="1">
      <c r="A94" s="120">
        <v>16</v>
      </c>
      <c r="B94" s="106">
        <v>327</v>
      </c>
      <c r="C94" s="42">
        <v>1171</v>
      </c>
      <c r="D94" s="42">
        <v>259.3</v>
      </c>
      <c r="E94" s="68">
        <v>505.5</v>
      </c>
      <c r="F94" s="66">
        <f>1157.1+149.4</f>
        <v>1306.5</v>
      </c>
      <c r="G94" s="66">
        <v>119.7</v>
      </c>
      <c r="H94" s="66"/>
      <c r="I94" s="66"/>
      <c r="J94" s="98">
        <v>177</v>
      </c>
      <c r="K94" s="44">
        <f>1659.8+128.5</f>
        <v>1788.3</v>
      </c>
      <c r="L94" s="123">
        <f t="shared" si="9"/>
        <v>5327.3</v>
      </c>
      <c r="M94" s="42">
        <v>57.4</v>
      </c>
      <c r="N94" s="138">
        <f t="shared" si="10"/>
        <v>1931.7</v>
      </c>
      <c r="O94" s="125">
        <v>148.5</v>
      </c>
      <c r="P94" s="109">
        <f t="shared" si="11"/>
        <v>2080.1999999999998</v>
      </c>
      <c r="Q94" s="39">
        <f t="shared" si="7"/>
        <v>16.291</v>
      </c>
      <c r="R94" s="39">
        <f t="shared" si="8"/>
        <v>6.3614678899082566</v>
      </c>
      <c r="S94" s="128">
        <f t="shared" si="12"/>
        <v>0.79140150595093517</v>
      </c>
      <c r="T94" s="92">
        <f t="shared" si="13"/>
        <v>5384.7</v>
      </c>
      <c r="U94" s="85"/>
      <c r="V94" s="80"/>
      <c r="W94" s="77"/>
      <c r="X94" s="80"/>
      <c r="Y94" s="80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7"/>
      <c r="BR94" s="87"/>
      <c r="BS94" s="87"/>
      <c r="BT94" s="87"/>
      <c r="BU94" s="87"/>
      <c r="BV94" s="87"/>
      <c r="BW94" s="87"/>
    </row>
    <row r="95" spans="1:75" ht="18.75" hidden="1">
      <c r="A95" s="7" t="s">
        <v>132</v>
      </c>
      <c r="B95" s="89">
        <v>365</v>
      </c>
      <c r="C95" s="42">
        <v>1311.7</v>
      </c>
      <c r="D95" s="42">
        <v>290.39999999999998</v>
      </c>
      <c r="E95" s="67">
        <v>492.8</v>
      </c>
      <c r="F95" s="64">
        <f>961.1+116.3</f>
        <v>1077.4000000000001</v>
      </c>
      <c r="G95" s="64">
        <v>231.9</v>
      </c>
      <c r="H95" s="64"/>
      <c r="I95" s="64"/>
      <c r="J95" s="109">
        <v>199</v>
      </c>
      <c r="K95" s="42">
        <f>1719.8+133.1</f>
        <v>1852.8999999999999</v>
      </c>
      <c r="L95" s="123">
        <f t="shared" si="9"/>
        <v>5456.1</v>
      </c>
      <c r="M95" s="42">
        <v>52.1</v>
      </c>
      <c r="N95" s="138">
        <f t="shared" si="10"/>
        <v>1802.1000000000001</v>
      </c>
      <c r="O95" s="125">
        <v>111.7</v>
      </c>
      <c r="P95" s="109">
        <f t="shared" si="11"/>
        <v>1913.8000000000002</v>
      </c>
      <c r="Q95" s="39">
        <f t="shared" si="7"/>
        <v>14.948</v>
      </c>
      <c r="R95" s="39">
        <f t="shared" si="8"/>
        <v>5.2432876712328769</v>
      </c>
      <c r="S95" s="128">
        <f t="shared" si="12"/>
        <v>0.72615982511537525</v>
      </c>
      <c r="T95" s="92">
        <f t="shared" si="13"/>
        <v>5508.2000000000007</v>
      </c>
      <c r="U95" s="85"/>
      <c r="W95" s="77"/>
    </row>
    <row r="96" spans="1:75" ht="18.75" hidden="1">
      <c r="A96" s="7" t="s">
        <v>133</v>
      </c>
      <c r="B96" s="89">
        <v>393</v>
      </c>
      <c r="C96" s="42">
        <v>1288.2</v>
      </c>
      <c r="D96" s="42">
        <v>285.2</v>
      </c>
      <c r="E96" s="67">
        <v>583.5</v>
      </c>
      <c r="F96" s="64">
        <f>1191+167.1</f>
        <v>1358.1</v>
      </c>
      <c r="G96" s="64">
        <v>184.3</v>
      </c>
      <c r="H96" s="64"/>
      <c r="I96" s="64"/>
      <c r="J96" s="109">
        <v>199</v>
      </c>
      <c r="K96" s="42">
        <f>1687.1+130.7</f>
        <v>1817.8</v>
      </c>
      <c r="L96" s="123">
        <f t="shared" si="9"/>
        <v>5716.1</v>
      </c>
      <c r="M96" s="42">
        <v>63.5</v>
      </c>
      <c r="N96" s="138">
        <f t="shared" si="10"/>
        <v>2125.9</v>
      </c>
      <c r="O96" s="125">
        <v>138.9</v>
      </c>
      <c r="P96" s="109">
        <f t="shared" si="11"/>
        <v>2264.8000000000002</v>
      </c>
      <c r="Q96" s="39">
        <f t="shared" si="7"/>
        <v>14.545</v>
      </c>
      <c r="R96" s="39">
        <f t="shared" si="8"/>
        <v>5.7628498727735371</v>
      </c>
      <c r="S96" s="128">
        <f t="shared" si="12"/>
        <v>0.70658246295846483</v>
      </c>
      <c r="T96" s="92">
        <f t="shared" si="13"/>
        <v>5779.6</v>
      </c>
      <c r="U96" s="85"/>
      <c r="W96" s="77"/>
    </row>
    <row r="97" spans="1:75" s="107" customFormat="1" ht="18.75">
      <c r="A97" s="120">
        <v>84</v>
      </c>
      <c r="B97" s="106">
        <v>100</v>
      </c>
      <c r="C97" s="42">
        <v>834.8</v>
      </c>
      <c r="D97" s="42">
        <v>184.8</v>
      </c>
      <c r="E97" s="68">
        <v>404.1</v>
      </c>
      <c r="F97" s="66">
        <v>312.2</v>
      </c>
      <c r="G97" s="66">
        <v>78.900000000000006</v>
      </c>
      <c r="H97" s="66"/>
      <c r="I97" s="66"/>
      <c r="J97" s="98">
        <v>154</v>
      </c>
      <c r="K97" s="44">
        <f>698.1+54</f>
        <v>752.1</v>
      </c>
      <c r="L97" s="123">
        <f t="shared" si="9"/>
        <v>2720.9</v>
      </c>
      <c r="M97" s="42">
        <v>31.6</v>
      </c>
      <c r="N97" s="138">
        <f t="shared" si="10"/>
        <v>795.19999999999993</v>
      </c>
      <c r="O97" s="125">
        <v>94.2</v>
      </c>
      <c r="P97" s="109">
        <f t="shared" si="11"/>
        <v>889.4</v>
      </c>
      <c r="Q97" s="39">
        <f t="shared" si="7"/>
        <v>27.209</v>
      </c>
      <c r="R97" s="39">
        <f t="shared" si="8"/>
        <v>8.8940000000000001</v>
      </c>
      <c r="S97" s="157">
        <f t="shared" si="12"/>
        <v>1.3217877094972066</v>
      </c>
      <c r="T97" s="92">
        <f t="shared" si="13"/>
        <v>2752.5</v>
      </c>
      <c r="U97" s="85"/>
      <c r="V97" s="80"/>
      <c r="W97" s="77"/>
      <c r="X97" s="80"/>
      <c r="Y97" s="80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</row>
    <row r="98" spans="1:75" s="107" customFormat="1" ht="18.75" hidden="1">
      <c r="A98" s="120">
        <v>94</v>
      </c>
      <c r="B98" s="106">
        <v>381</v>
      </c>
      <c r="C98" s="42">
        <v>1546.2</v>
      </c>
      <c r="D98" s="42">
        <v>342.3</v>
      </c>
      <c r="E98" s="68">
        <v>687.7</v>
      </c>
      <c r="F98" s="66">
        <f>1631.5+223.2</f>
        <v>1854.7</v>
      </c>
      <c r="G98" s="66">
        <v>315.10000000000002</v>
      </c>
      <c r="H98" s="66"/>
      <c r="I98" s="66"/>
      <c r="J98" s="98">
        <v>219</v>
      </c>
      <c r="K98" s="44">
        <f>1783.4+138.2</f>
        <v>1921.6000000000001</v>
      </c>
      <c r="L98" s="123">
        <f t="shared" si="9"/>
        <v>6886.6</v>
      </c>
      <c r="M98" s="42">
        <v>86.6</v>
      </c>
      <c r="N98" s="138">
        <f t="shared" si="10"/>
        <v>2857.5</v>
      </c>
      <c r="O98" s="125">
        <v>154</v>
      </c>
      <c r="P98" s="109">
        <f t="shared" si="11"/>
        <v>3011.5</v>
      </c>
      <c r="Q98" s="155">
        <f t="shared" si="7"/>
        <v>18.074999999999999</v>
      </c>
      <c r="R98" s="39">
        <f t="shared" si="8"/>
        <v>7.9041994750656164</v>
      </c>
      <c r="S98" s="128">
        <f t="shared" si="12"/>
        <v>0.87806655331552097</v>
      </c>
      <c r="T98" s="154">
        <f t="shared" si="13"/>
        <v>6973.2000000000007</v>
      </c>
      <c r="U98" s="85"/>
      <c r="V98" s="80"/>
      <c r="W98" s="77"/>
      <c r="X98" s="80"/>
      <c r="Y98" s="80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87"/>
      <c r="BL98" s="87"/>
      <c r="BM98" s="87"/>
      <c r="BN98" s="87"/>
      <c r="BO98" s="87"/>
      <c r="BP98" s="87"/>
      <c r="BQ98" s="87"/>
      <c r="BR98" s="87"/>
      <c r="BS98" s="87"/>
      <c r="BT98" s="87"/>
      <c r="BU98" s="87"/>
      <c r="BV98" s="87"/>
      <c r="BW98" s="87"/>
    </row>
    <row r="99" spans="1:75" s="107" customFormat="1" ht="18.75">
      <c r="A99" s="120">
        <v>101</v>
      </c>
      <c r="B99" s="106">
        <v>230</v>
      </c>
      <c r="C99" s="62">
        <v>1700.9</v>
      </c>
      <c r="D99" s="42">
        <v>376.6</v>
      </c>
      <c r="E99" s="68">
        <v>705.8</v>
      </c>
      <c r="F99" s="66">
        <f>1750.8+98.9</f>
        <v>1849.7</v>
      </c>
      <c r="G99" s="66">
        <v>174.2</v>
      </c>
      <c r="H99" s="66"/>
      <c r="I99" s="66"/>
      <c r="J99" s="98">
        <v>209</v>
      </c>
      <c r="K99" s="44">
        <f>1850.6+143.3</f>
        <v>1993.8999999999999</v>
      </c>
      <c r="L99" s="123">
        <f t="shared" si="9"/>
        <v>7010.1</v>
      </c>
      <c r="M99" s="42">
        <v>34.299999999999997</v>
      </c>
      <c r="N99" s="138">
        <f t="shared" si="10"/>
        <v>2729.7</v>
      </c>
      <c r="O99" s="125">
        <v>165.5</v>
      </c>
      <c r="P99" s="109">
        <f t="shared" si="11"/>
        <v>2895.2</v>
      </c>
      <c r="Q99" s="39">
        <f t="shared" si="7"/>
        <v>30.478999999999999</v>
      </c>
      <c r="R99" s="39">
        <f t="shared" si="8"/>
        <v>12.587826086956522</v>
      </c>
      <c r="S99" s="157">
        <f t="shared" si="12"/>
        <v>1.480641243623998</v>
      </c>
      <c r="T99" s="92">
        <f t="shared" si="13"/>
        <v>7044.4000000000005</v>
      </c>
      <c r="U99" s="85"/>
      <c r="V99" s="80"/>
      <c r="W99" s="77"/>
      <c r="X99" s="80"/>
      <c r="Y99" s="80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7"/>
      <c r="BR99" s="87"/>
      <c r="BS99" s="87"/>
      <c r="BT99" s="87"/>
      <c r="BU99" s="87"/>
      <c r="BV99" s="87"/>
      <c r="BW99" s="87"/>
    </row>
    <row r="100" spans="1:75" ht="18.75" hidden="1">
      <c r="A100" s="7" t="s">
        <v>134</v>
      </c>
      <c r="B100" s="89">
        <v>192</v>
      </c>
      <c r="C100" s="62">
        <v>952.1</v>
      </c>
      <c r="D100" s="42">
        <v>210.8</v>
      </c>
      <c r="E100" s="67">
        <v>442.6</v>
      </c>
      <c r="F100" s="64">
        <v>607.1</v>
      </c>
      <c r="G100" s="64">
        <v>95.4</v>
      </c>
      <c r="H100" s="64"/>
      <c r="I100" s="64"/>
      <c r="J100" s="109">
        <v>154</v>
      </c>
      <c r="K100" s="42">
        <f>1034.4+80.1</f>
        <v>1114.5</v>
      </c>
      <c r="L100" s="123">
        <f t="shared" si="9"/>
        <v>3576.5</v>
      </c>
      <c r="M100" s="42">
        <v>33.700000000000003</v>
      </c>
      <c r="N100" s="138">
        <f t="shared" si="10"/>
        <v>1145.1000000000001</v>
      </c>
      <c r="O100" s="125">
        <v>130.9</v>
      </c>
      <c r="P100" s="109">
        <f t="shared" si="11"/>
        <v>1276.0000000000002</v>
      </c>
      <c r="Q100" s="39">
        <f t="shared" si="7"/>
        <v>18.628</v>
      </c>
      <c r="R100" s="39">
        <f t="shared" si="8"/>
        <v>6.6458333333333348</v>
      </c>
      <c r="S100" s="128">
        <f t="shared" si="12"/>
        <v>0.90493077483604567</v>
      </c>
      <c r="T100" s="92">
        <f t="shared" si="13"/>
        <v>3610.2</v>
      </c>
      <c r="U100" s="85"/>
      <c r="W100" s="77"/>
    </row>
    <row r="101" spans="1:75" ht="18.75" hidden="1">
      <c r="A101" s="7" t="s">
        <v>135</v>
      </c>
      <c r="B101" s="89">
        <v>159</v>
      </c>
      <c r="C101" s="62">
        <v>866.1</v>
      </c>
      <c r="D101" s="42">
        <v>191.8</v>
      </c>
      <c r="E101" s="67">
        <v>425.7</v>
      </c>
      <c r="F101" s="64">
        <v>350.3</v>
      </c>
      <c r="G101" s="64">
        <v>71</v>
      </c>
      <c r="H101" s="64"/>
      <c r="I101" s="64"/>
      <c r="J101" s="109">
        <v>150</v>
      </c>
      <c r="K101" s="42">
        <f>838.1+64.9</f>
        <v>903</v>
      </c>
      <c r="L101" s="123">
        <f t="shared" si="9"/>
        <v>2957.9</v>
      </c>
      <c r="M101" s="42">
        <v>25.6</v>
      </c>
      <c r="N101" s="138">
        <f t="shared" si="10"/>
        <v>847</v>
      </c>
      <c r="O101" s="125">
        <v>108.8</v>
      </c>
      <c r="P101" s="109">
        <f t="shared" si="11"/>
        <v>955.8</v>
      </c>
      <c r="Q101" s="39">
        <f t="shared" si="7"/>
        <v>18.603000000000002</v>
      </c>
      <c r="R101" s="39">
        <f t="shared" si="8"/>
        <v>6.0113207547169809</v>
      </c>
      <c r="S101" s="128">
        <f t="shared" si="12"/>
        <v>0.90371629827544331</v>
      </c>
      <c r="T101" s="92">
        <f t="shared" si="13"/>
        <v>2983.5</v>
      </c>
      <c r="U101" s="85"/>
      <c r="W101" s="77"/>
    </row>
    <row r="102" spans="1:75" s="107" customFormat="1" ht="18.75" hidden="1">
      <c r="A102" s="120">
        <v>148</v>
      </c>
      <c r="B102" s="106">
        <v>198</v>
      </c>
      <c r="C102" s="62">
        <v>1489.9</v>
      </c>
      <c r="D102" s="42">
        <v>329.9</v>
      </c>
      <c r="E102" s="68">
        <v>627</v>
      </c>
      <c r="F102" s="66">
        <v>711.2</v>
      </c>
      <c r="G102" s="66">
        <v>112.2</v>
      </c>
      <c r="H102" s="66"/>
      <c r="I102" s="66"/>
      <c r="J102" s="98">
        <v>217</v>
      </c>
      <c r="K102" s="44">
        <f>1045.3+81</f>
        <v>1126.3</v>
      </c>
      <c r="L102" s="123">
        <f t="shared" si="9"/>
        <v>4613.5</v>
      </c>
      <c r="M102" s="42">
        <v>60</v>
      </c>
      <c r="N102" s="138">
        <f t="shared" si="10"/>
        <v>1450.4</v>
      </c>
      <c r="O102" s="125">
        <v>159</v>
      </c>
      <c r="P102" s="109">
        <f t="shared" si="11"/>
        <v>1609.4</v>
      </c>
      <c r="Q102" s="39">
        <f t="shared" si="7"/>
        <v>23.300999999999998</v>
      </c>
      <c r="R102" s="39">
        <f t="shared" si="8"/>
        <v>8.1282828282828294</v>
      </c>
      <c r="S102" s="157">
        <f t="shared" si="12"/>
        <v>1.1319407335438425</v>
      </c>
      <c r="T102" s="92">
        <f t="shared" si="13"/>
        <v>4673.5</v>
      </c>
      <c r="U102" s="85"/>
      <c r="V102" s="80"/>
      <c r="W102" s="77"/>
      <c r="X102" s="80"/>
      <c r="Y102" s="80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7"/>
      <c r="BR102" s="87"/>
      <c r="BS102" s="87"/>
      <c r="BT102" s="87"/>
      <c r="BU102" s="87"/>
      <c r="BV102" s="87"/>
      <c r="BW102" s="87"/>
    </row>
    <row r="103" spans="1:75" ht="18.75" hidden="1">
      <c r="A103" s="7" t="s">
        <v>136</v>
      </c>
      <c r="B103" s="89">
        <v>325</v>
      </c>
      <c r="C103" s="62">
        <v>1256.9000000000001</v>
      </c>
      <c r="D103" s="42">
        <v>278.3</v>
      </c>
      <c r="E103" s="67">
        <v>406</v>
      </c>
      <c r="F103" s="64">
        <f>740.7+95.1</f>
        <v>835.80000000000007</v>
      </c>
      <c r="G103" s="64">
        <v>105.9</v>
      </c>
      <c r="H103" s="64"/>
      <c r="I103" s="64"/>
      <c r="J103" s="109">
        <v>177</v>
      </c>
      <c r="K103" s="42">
        <f>1327.1+102.8</f>
        <v>1429.8999999999999</v>
      </c>
      <c r="L103" s="123">
        <f t="shared" si="9"/>
        <v>4489.8</v>
      </c>
      <c r="M103" s="42">
        <v>57.3</v>
      </c>
      <c r="N103" s="138">
        <f t="shared" si="10"/>
        <v>1347.7000000000003</v>
      </c>
      <c r="O103" s="125">
        <v>96.2</v>
      </c>
      <c r="P103" s="109">
        <f t="shared" si="11"/>
        <v>1443.9000000000003</v>
      </c>
      <c r="Q103" s="39">
        <f t="shared" si="7"/>
        <v>13.815</v>
      </c>
      <c r="R103" s="39">
        <f t="shared" si="8"/>
        <v>4.4427692307692315</v>
      </c>
      <c r="S103" s="128">
        <f t="shared" si="12"/>
        <v>0.67111974738887537</v>
      </c>
      <c r="T103" s="92">
        <f t="shared" si="13"/>
        <v>4547.1000000000004</v>
      </c>
      <c r="U103" s="85"/>
      <c r="W103" s="77"/>
    </row>
    <row r="104" spans="1:75" ht="18.75" hidden="1">
      <c r="A104" s="7" t="s">
        <v>137</v>
      </c>
      <c r="B104" s="89">
        <v>353</v>
      </c>
      <c r="C104" s="62">
        <v>1335.1</v>
      </c>
      <c r="D104" s="42">
        <v>295.60000000000002</v>
      </c>
      <c r="E104" s="67">
        <v>545.70000000000005</v>
      </c>
      <c r="F104" s="64">
        <f>1145.2+145.7</f>
        <v>1290.9000000000001</v>
      </c>
      <c r="G104" s="64">
        <v>220</v>
      </c>
      <c r="H104" s="64"/>
      <c r="I104" s="64"/>
      <c r="J104" s="109">
        <v>199</v>
      </c>
      <c r="K104" s="42">
        <f>1543.3+119.5</f>
        <v>1662.8</v>
      </c>
      <c r="L104" s="123">
        <f t="shared" si="9"/>
        <v>5549.1</v>
      </c>
      <c r="M104" s="42">
        <v>201.9</v>
      </c>
      <c r="N104" s="138">
        <f t="shared" si="10"/>
        <v>2056.6000000000004</v>
      </c>
      <c r="O104" s="125">
        <v>120.5</v>
      </c>
      <c r="P104" s="109">
        <f t="shared" si="11"/>
        <v>2177.1000000000004</v>
      </c>
      <c r="Q104" s="39">
        <f t="shared" si="7"/>
        <v>15.72</v>
      </c>
      <c r="R104" s="39">
        <f t="shared" si="8"/>
        <v>6.1674220963172814</v>
      </c>
      <c r="S104" s="128">
        <f t="shared" si="12"/>
        <v>0.76366286130677674</v>
      </c>
      <c r="T104" s="92">
        <f t="shared" si="13"/>
        <v>5751</v>
      </c>
      <c r="U104" s="85"/>
      <c r="W104" s="77"/>
    </row>
    <row r="105" spans="1:75" ht="18.75" hidden="1">
      <c r="A105" s="7" t="s">
        <v>138</v>
      </c>
      <c r="B105" s="89">
        <v>146</v>
      </c>
      <c r="C105" s="62">
        <v>866.1</v>
      </c>
      <c r="D105" s="42">
        <v>191.8</v>
      </c>
      <c r="E105" s="67">
        <v>288.2</v>
      </c>
      <c r="F105" s="64">
        <v>747.8</v>
      </c>
      <c r="G105" s="64">
        <v>61.3</v>
      </c>
      <c r="H105" s="64"/>
      <c r="I105" s="64"/>
      <c r="J105" s="109">
        <v>150</v>
      </c>
      <c r="K105" s="42">
        <f>692.6+53.6</f>
        <v>746.2</v>
      </c>
      <c r="L105" s="123">
        <f t="shared" si="9"/>
        <v>3051.4</v>
      </c>
      <c r="M105" s="42">
        <v>28.8</v>
      </c>
      <c r="N105" s="138">
        <f t="shared" si="10"/>
        <v>1097.3</v>
      </c>
      <c r="O105" s="125">
        <v>126.8</v>
      </c>
      <c r="P105" s="109">
        <f t="shared" si="11"/>
        <v>1224.0999999999999</v>
      </c>
      <c r="Q105" s="39">
        <f t="shared" si="7"/>
        <v>20.9</v>
      </c>
      <c r="R105" s="39">
        <f t="shared" si="8"/>
        <v>8.3842465753424644</v>
      </c>
      <c r="S105" s="157">
        <f t="shared" si="12"/>
        <v>1.0153024046635899</v>
      </c>
      <c r="T105" s="92">
        <f t="shared" si="13"/>
        <v>3080.2000000000003</v>
      </c>
      <c r="U105" s="85"/>
      <c r="W105" s="77"/>
    </row>
    <row r="106" spans="1:75" ht="18.75" hidden="1">
      <c r="A106" s="7" t="s">
        <v>139</v>
      </c>
      <c r="B106" s="89">
        <v>399</v>
      </c>
      <c r="C106" s="62">
        <v>1358.6</v>
      </c>
      <c r="D106" s="42">
        <v>300.8</v>
      </c>
      <c r="E106" s="67">
        <v>589.4</v>
      </c>
      <c r="F106" s="64">
        <f>1299.6+169</f>
        <v>1468.6</v>
      </c>
      <c r="G106" s="64">
        <v>183.9</v>
      </c>
      <c r="H106" s="64"/>
      <c r="I106" s="64"/>
      <c r="J106" s="109">
        <v>199</v>
      </c>
      <c r="K106" s="42">
        <f>1621.6+125.6</f>
        <v>1747.1999999999998</v>
      </c>
      <c r="L106" s="123">
        <f t="shared" si="9"/>
        <v>5847.5</v>
      </c>
      <c r="M106" s="42">
        <v>44.9</v>
      </c>
      <c r="N106" s="138">
        <f t="shared" si="10"/>
        <v>2241.9</v>
      </c>
      <c r="O106" s="125">
        <v>118.3</v>
      </c>
      <c r="P106" s="109">
        <f t="shared" si="11"/>
        <v>2360.2000000000003</v>
      </c>
      <c r="Q106" s="39">
        <f t="shared" si="7"/>
        <v>14.654999999999999</v>
      </c>
      <c r="R106" s="39">
        <f t="shared" si="8"/>
        <v>5.9152882205513793</v>
      </c>
      <c r="S106" s="128">
        <f t="shared" si="12"/>
        <v>0.71192615982511531</v>
      </c>
      <c r="T106" s="92">
        <f t="shared" si="13"/>
        <v>5892.4</v>
      </c>
      <c r="U106" s="85"/>
      <c r="W106" s="77"/>
    </row>
    <row r="107" spans="1:75" ht="18.75" hidden="1">
      <c r="A107" s="7" t="s">
        <v>140</v>
      </c>
      <c r="B107" s="89">
        <v>224</v>
      </c>
      <c r="C107" s="62">
        <v>1077.2</v>
      </c>
      <c r="D107" s="42">
        <v>238.5</v>
      </c>
      <c r="E107" s="67">
        <v>334</v>
      </c>
      <c r="F107" s="64">
        <v>877.1</v>
      </c>
      <c r="G107" s="64">
        <v>76.400000000000006</v>
      </c>
      <c r="H107" s="64"/>
      <c r="I107" s="64"/>
      <c r="J107" s="109">
        <v>154</v>
      </c>
      <c r="K107" s="42">
        <f>1047.1+81.1</f>
        <v>1128.1999999999998</v>
      </c>
      <c r="L107" s="123">
        <f t="shared" si="9"/>
        <v>3885.4</v>
      </c>
      <c r="M107" s="42">
        <v>33</v>
      </c>
      <c r="N107" s="138">
        <f t="shared" si="10"/>
        <v>1287.5</v>
      </c>
      <c r="O107" s="125">
        <v>111.6</v>
      </c>
      <c r="P107" s="109">
        <f t="shared" si="11"/>
        <v>1399.1</v>
      </c>
      <c r="Q107" s="39">
        <f t="shared" si="7"/>
        <v>17.346</v>
      </c>
      <c r="R107" s="39">
        <f t="shared" si="8"/>
        <v>6.2459821428571427</v>
      </c>
      <c r="S107" s="128">
        <f t="shared" si="12"/>
        <v>0.84265241680835556</v>
      </c>
      <c r="T107" s="92">
        <f t="shared" si="13"/>
        <v>3918.4</v>
      </c>
      <c r="U107" s="85"/>
      <c r="W107" s="77"/>
    </row>
    <row r="108" spans="1:75" ht="18.75" hidden="1">
      <c r="A108" s="7" t="s">
        <v>141</v>
      </c>
      <c r="B108" s="89">
        <v>374</v>
      </c>
      <c r="C108" s="62">
        <v>1358.6</v>
      </c>
      <c r="D108" s="42">
        <v>300.8</v>
      </c>
      <c r="E108" s="67">
        <v>517.29999999999995</v>
      </c>
      <c r="F108" s="64">
        <f>1218.3+159.3</f>
        <v>1377.6</v>
      </c>
      <c r="G108" s="64">
        <v>160.9</v>
      </c>
      <c r="H108" s="64"/>
      <c r="I108" s="64"/>
      <c r="J108" s="109">
        <v>199</v>
      </c>
      <c r="K108" s="42">
        <f>1592.4+123.4</f>
        <v>1715.8000000000002</v>
      </c>
      <c r="L108" s="123">
        <f t="shared" si="9"/>
        <v>5630</v>
      </c>
      <c r="M108" s="42">
        <v>53</v>
      </c>
      <c r="N108" s="138">
        <f t="shared" si="10"/>
        <v>2055.7999999999997</v>
      </c>
      <c r="O108" s="125">
        <v>134.9</v>
      </c>
      <c r="P108" s="109">
        <f t="shared" si="11"/>
        <v>2190.6999999999998</v>
      </c>
      <c r="Q108" s="39">
        <f t="shared" si="7"/>
        <v>15.053000000000001</v>
      </c>
      <c r="R108" s="39">
        <f t="shared" si="8"/>
        <v>5.8574866310160427</v>
      </c>
      <c r="S108" s="128">
        <f t="shared" si="12"/>
        <v>0.73126062666990532</v>
      </c>
      <c r="T108" s="92">
        <f t="shared" si="13"/>
        <v>5683</v>
      </c>
      <c r="U108" s="85"/>
      <c r="W108" s="77"/>
    </row>
    <row r="109" spans="1:75" ht="18.75" hidden="1">
      <c r="A109" s="7" t="s">
        <v>142</v>
      </c>
      <c r="B109" s="89">
        <v>177</v>
      </c>
      <c r="C109" s="62">
        <v>879.6</v>
      </c>
      <c r="D109" s="42">
        <v>194.8</v>
      </c>
      <c r="E109" s="67">
        <v>479</v>
      </c>
      <c r="F109" s="64">
        <v>696</v>
      </c>
      <c r="G109" s="64">
        <v>94.9</v>
      </c>
      <c r="H109" s="64"/>
      <c r="I109" s="64"/>
      <c r="J109" s="109">
        <v>150</v>
      </c>
      <c r="K109" s="42">
        <f>865.3+67</f>
        <v>932.3</v>
      </c>
      <c r="L109" s="123">
        <f t="shared" si="9"/>
        <v>3426.6</v>
      </c>
      <c r="M109" s="42">
        <v>75</v>
      </c>
      <c r="N109" s="138">
        <f t="shared" si="10"/>
        <v>1269.9000000000001</v>
      </c>
      <c r="O109" s="125">
        <v>94.3</v>
      </c>
      <c r="P109" s="109">
        <f t="shared" si="11"/>
        <v>1364.2</v>
      </c>
      <c r="Q109" s="39">
        <f t="shared" si="7"/>
        <v>19.359000000000002</v>
      </c>
      <c r="R109" s="39">
        <f t="shared" si="8"/>
        <v>7.7073446327683621</v>
      </c>
      <c r="S109" s="128">
        <f t="shared" si="12"/>
        <v>0.94044206946805931</v>
      </c>
      <c r="T109" s="92">
        <f t="shared" si="13"/>
        <v>3501.6</v>
      </c>
      <c r="U109" s="85"/>
      <c r="W109" s="77"/>
    </row>
    <row r="110" spans="1:75" ht="18.75" hidden="1">
      <c r="A110" s="7" t="s">
        <v>143</v>
      </c>
      <c r="B110" s="89">
        <v>390</v>
      </c>
      <c r="C110" s="62">
        <v>1499.3</v>
      </c>
      <c r="D110" s="42">
        <v>332</v>
      </c>
      <c r="E110" s="67">
        <v>780.3</v>
      </c>
      <c r="F110" s="64">
        <v>1536.8</v>
      </c>
      <c r="G110" s="64">
        <v>185.9</v>
      </c>
      <c r="H110" s="64"/>
      <c r="I110" s="64"/>
      <c r="J110" s="109">
        <v>219</v>
      </c>
      <c r="K110" s="42">
        <f>1856.1+143.7</f>
        <v>1999.8</v>
      </c>
      <c r="L110" s="123">
        <f t="shared" si="9"/>
        <v>6553.1</v>
      </c>
      <c r="M110" s="42">
        <v>49.3</v>
      </c>
      <c r="N110" s="138">
        <f t="shared" si="10"/>
        <v>2503</v>
      </c>
      <c r="O110" s="125">
        <v>134.69999999999999</v>
      </c>
      <c r="P110" s="109">
        <f t="shared" si="11"/>
        <v>2637.7</v>
      </c>
      <c r="Q110" s="155">
        <f t="shared" si="7"/>
        <v>16.803000000000001</v>
      </c>
      <c r="R110" s="39">
        <f t="shared" si="8"/>
        <v>6.7633333333333328</v>
      </c>
      <c r="S110" s="128">
        <f t="shared" si="12"/>
        <v>0.8162739859120719</v>
      </c>
      <c r="T110" s="154">
        <f t="shared" si="13"/>
        <v>6602.4000000000005</v>
      </c>
      <c r="U110" s="85"/>
      <c r="W110" s="77"/>
    </row>
    <row r="111" spans="1:75" ht="18.75" hidden="1">
      <c r="A111" s="7" t="s">
        <v>144</v>
      </c>
      <c r="B111" s="89">
        <v>312</v>
      </c>
      <c r="C111" s="42">
        <v>1669.7</v>
      </c>
      <c r="D111" s="42">
        <v>369.7</v>
      </c>
      <c r="E111" s="67">
        <v>1105.9000000000001</v>
      </c>
      <c r="F111" s="64">
        <v>815.3</v>
      </c>
      <c r="G111" s="64">
        <v>143.6</v>
      </c>
      <c r="H111" s="64"/>
      <c r="I111" s="64"/>
      <c r="J111" s="109">
        <v>217</v>
      </c>
      <c r="K111" s="42">
        <f>1450.7+112.4</f>
        <v>1563.1000000000001</v>
      </c>
      <c r="L111" s="123">
        <f t="shared" si="9"/>
        <v>5884.3</v>
      </c>
      <c r="M111" s="42">
        <v>70.7</v>
      </c>
      <c r="N111" s="138">
        <f t="shared" si="10"/>
        <v>2064.8000000000002</v>
      </c>
      <c r="O111" s="125">
        <v>163.6</v>
      </c>
      <c r="P111" s="109">
        <f t="shared" si="11"/>
        <v>2228.4</v>
      </c>
      <c r="Q111" s="39">
        <f t="shared" si="7"/>
        <v>18.86</v>
      </c>
      <c r="R111" s="39">
        <f t="shared" si="8"/>
        <v>7.1423076923076927</v>
      </c>
      <c r="S111" s="128">
        <f t="shared" si="12"/>
        <v>0.91620111731843568</v>
      </c>
      <c r="T111" s="92">
        <f t="shared" si="13"/>
        <v>5955</v>
      </c>
      <c r="U111" s="85"/>
      <c r="W111" s="77"/>
    </row>
    <row r="112" spans="1:75" s="107" customFormat="1" ht="18.75" hidden="1">
      <c r="A112" s="120">
        <v>194</v>
      </c>
      <c r="B112" s="106">
        <v>136</v>
      </c>
      <c r="C112" s="42">
        <v>803.6</v>
      </c>
      <c r="D112" s="42">
        <v>177.9</v>
      </c>
      <c r="E112" s="68">
        <v>465</v>
      </c>
      <c r="F112" s="66">
        <v>468.3</v>
      </c>
      <c r="G112" s="66">
        <v>84.3</v>
      </c>
      <c r="H112" s="66"/>
      <c r="I112" s="66"/>
      <c r="J112" s="98">
        <v>150</v>
      </c>
      <c r="K112" s="44">
        <f>1103.5+85.5</f>
        <v>1189</v>
      </c>
      <c r="L112" s="123">
        <f t="shared" si="9"/>
        <v>3338.1</v>
      </c>
      <c r="M112" s="42">
        <v>22.9</v>
      </c>
      <c r="N112" s="138">
        <f t="shared" si="10"/>
        <v>1017.5999999999999</v>
      </c>
      <c r="O112" s="125">
        <v>119.3</v>
      </c>
      <c r="P112" s="109">
        <f t="shared" si="11"/>
        <v>1136.8999999999999</v>
      </c>
      <c r="Q112" s="39">
        <f t="shared" si="7"/>
        <v>24.545000000000002</v>
      </c>
      <c r="R112" s="39">
        <f t="shared" si="8"/>
        <v>8.3595588235294116</v>
      </c>
      <c r="S112" s="157">
        <f t="shared" si="12"/>
        <v>1.1923730871994171</v>
      </c>
      <c r="T112" s="92">
        <f t="shared" si="13"/>
        <v>3361</v>
      </c>
      <c r="U112" s="85"/>
      <c r="V112" s="80"/>
      <c r="W112" s="77"/>
      <c r="X112" s="80"/>
      <c r="Y112" s="80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7"/>
      <c r="BQ112" s="87"/>
      <c r="BR112" s="87"/>
      <c r="BS112" s="87"/>
      <c r="BT112" s="87"/>
      <c r="BU112" s="87"/>
      <c r="BV112" s="87"/>
      <c r="BW112" s="87"/>
    </row>
    <row r="113" spans="1:75" ht="18.75" hidden="1">
      <c r="A113" s="7" t="s">
        <v>145</v>
      </c>
      <c r="B113" s="89">
        <v>380</v>
      </c>
      <c r="C113" s="42">
        <v>1546.2</v>
      </c>
      <c r="D113" s="42">
        <v>342.3</v>
      </c>
      <c r="E113" s="67">
        <v>635.29999999999995</v>
      </c>
      <c r="F113" s="64">
        <f>1242.9+169</f>
        <v>1411.9</v>
      </c>
      <c r="G113" s="64">
        <v>226.6</v>
      </c>
      <c r="H113" s="64"/>
      <c r="I113" s="64"/>
      <c r="J113" s="109">
        <v>219</v>
      </c>
      <c r="K113" s="42">
        <f>1723.3+133.5</f>
        <v>1856.8</v>
      </c>
      <c r="L113" s="123">
        <f t="shared" si="9"/>
        <v>6238.1</v>
      </c>
      <c r="M113" s="42">
        <v>49.2</v>
      </c>
      <c r="N113" s="138">
        <f t="shared" si="10"/>
        <v>2273.8000000000002</v>
      </c>
      <c r="O113" s="125">
        <v>132.6</v>
      </c>
      <c r="P113" s="109">
        <f t="shared" si="11"/>
        <v>2406.4</v>
      </c>
      <c r="Q113" s="155">
        <f t="shared" si="7"/>
        <v>16.416</v>
      </c>
      <c r="R113" s="39">
        <f t="shared" si="8"/>
        <v>6.3326315789473684</v>
      </c>
      <c r="S113" s="128">
        <f t="shared" si="12"/>
        <v>0.79747388875394698</v>
      </c>
      <c r="T113" s="154">
        <f t="shared" si="13"/>
        <v>6287.3</v>
      </c>
      <c r="U113" s="85"/>
      <c r="W113" s="77"/>
    </row>
    <row r="114" spans="1:75" s="107" customFormat="1" ht="18.75" hidden="1">
      <c r="A114" s="120">
        <v>209</v>
      </c>
      <c r="B114" s="106">
        <v>317</v>
      </c>
      <c r="C114" s="42">
        <v>1546.2</v>
      </c>
      <c r="D114" s="42">
        <v>342.3</v>
      </c>
      <c r="E114" s="68">
        <v>813.1</v>
      </c>
      <c r="F114" s="66">
        <f>1642.5+175.8</f>
        <v>1818.3</v>
      </c>
      <c r="G114" s="66">
        <v>227.7</v>
      </c>
      <c r="H114" s="66"/>
      <c r="I114" s="66"/>
      <c r="J114" s="98">
        <v>219</v>
      </c>
      <c r="K114" s="44">
        <f>1794.3+139</f>
        <v>1933.3</v>
      </c>
      <c r="L114" s="123">
        <f t="shared" si="9"/>
        <v>6899.9</v>
      </c>
      <c r="M114" s="42">
        <v>57.5</v>
      </c>
      <c r="N114" s="138">
        <f t="shared" si="10"/>
        <v>2859.1</v>
      </c>
      <c r="O114" s="125">
        <v>163.1</v>
      </c>
      <c r="P114" s="109">
        <f t="shared" si="11"/>
        <v>3022.2</v>
      </c>
      <c r="Q114" s="155">
        <f t="shared" si="7"/>
        <v>21.765999999999998</v>
      </c>
      <c r="R114" s="39">
        <f t="shared" si="8"/>
        <v>9.5337539432176648</v>
      </c>
      <c r="S114" s="157">
        <f t="shared" si="12"/>
        <v>1.0573718727228563</v>
      </c>
      <c r="T114" s="154">
        <f t="shared" si="13"/>
        <v>6957.4</v>
      </c>
      <c r="U114" s="85"/>
      <c r="V114" s="80"/>
      <c r="W114" s="77"/>
      <c r="X114" s="80"/>
      <c r="Y114" s="80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  <c r="BV114" s="87"/>
      <c r="BW114" s="87"/>
    </row>
    <row r="115" spans="1:75" s="107" customFormat="1" ht="18.75" hidden="1">
      <c r="A115" s="120">
        <v>210</v>
      </c>
      <c r="B115" s="106">
        <v>159</v>
      </c>
      <c r="C115" s="42">
        <v>1053.7</v>
      </c>
      <c r="D115" s="42">
        <v>233.3</v>
      </c>
      <c r="E115" s="68">
        <v>537.1</v>
      </c>
      <c r="F115" s="66">
        <f>1175.7</f>
        <v>1175.7</v>
      </c>
      <c r="G115" s="66">
        <v>92.8</v>
      </c>
      <c r="H115" s="66"/>
      <c r="I115" s="66"/>
      <c r="J115" s="98">
        <v>174</v>
      </c>
      <c r="K115" s="44">
        <f>869.1+67.3</f>
        <v>936.4</v>
      </c>
      <c r="L115" s="123">
        <f t="shared" si="9"/>
        <v>4203</v>
      </c>
      <c r="M115" s="42">
        <v>53.7</v>
      </c>
      <c r="N115" s="138">
        <f t="shared" si="10"/>
        <v>1805.6000000000001</v>
      </c>
      <c r="O115" s="125">
        <v>110</v>
      </c>
      <c r="P115" s="109">
        <f t="shared" si="11"/>
        <v>1915.6000000000001</v>
      </c>
      <c r="Q115" s="155">
        <f t="shared" si="7"/>
        <v>26.434000000000001</v>
      </c>
      <c r="R115" s="39">
        <f t="shared" si="8"/>
        <v>12.047798742138365</v>
      </c>
      <c r="S115" s="157">
        <f t="shared" si="12"/>
        <v>1.2841389361185329</v>
      </c>
      <c r="T115" s="154">
        <f t="shared" si="13"/>
        <v>4256.7</v>
      </c>
      <c r="U115" s="85"/>
      <c r="V115" s="80"/>
      <c r="W115" s="77"/>
      <c r="X115" s="80"/>
      <c r="Y115" s="80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  <c r="BN115" s="87"/>
      <c r="BO115" s="87"/>
      <c r="BP115" s="87"/>
      <c r="BQ115" s="87"/>
      <c r="BR115" s="87"/>
      <c r="BS115" s="87"/>
      <c r="BT115" s="87"/>
      <c r="BU115" s="87"/>
      <c r="BV115" s="87"/>
      <c r="BW115" s="87"/>
    </row>
    <row r="116" spans="1:75" ht="18.75" hidden="1">
      <c r="A116" s="7" t="s">
        <v>146</v>
      </c>
      <c r="B116" s="89">
        <v>199</v>
      </c>
      <c r="C116" s="42">
        <v>959.9</v>
      </c>
      <c r="D116" s="42">
        <v>212.5</v>
      </c>
      <c r="E116" s="67">
        <v>425.7</v>
      </c>
      <c r="F116" s="64">
        <v>827.5</v>
      </c>
      <c r="G116" s="64">
        <v>89.2</v>
      </c>
      <c r="H116" s="64"/>
      <c r="I116" s="64"/>
      <c r="J116" s="109">
        <v>154</v>
      </c>
      <c r="K116" s="42">
        <f>1001.6+77.6</f>
        <v>1079.2</v>
      </c>
      <c r="L116" s="123">
        <f t="shared" si="9"/>
        <v>3748</v>
      </c>
      <c r="M116" s="42">
        <v>30.1</v>
      </c>
      <c r="N116" s="138">
        <f t="shared" si="10"/>
        <v>1342.4</v>
      </c>
      <c r="O116" s="125">
        <v>123.9</v>
      </c>
      <c r="P116" s="109">
        <f t="shared" si="11"/>
        <v>1466.3000000000002</v>
      </c>
      <c r="Q116" s="39">
        <f t="shared" si="7"/>
        <v>18.834</v>
      </c>
      <c r="R116" s="39">
        <f t="shared" si="8"/>
        <v>7.3683417085427143</v>
      </c>
      <c r="S116" s="128">
        <f t="shared" si="12"/>
        <v>0.91493806169540925</v>
      </c>
      <c r="T116" s="92">
        <f t="shared" si="13"/>
        <v>3778.1</v>
      </c>
      <c r="U116" s="85"/>
      <c r="W116" s="77"/>
    </row>
    <row r="117" spans="1:75" ht="18.75" hidden="1">
      <c r="A117" s="7" t="s">
        <v>147</v>
      </c>
      <c r="B117" s="89">
        <v>367</v>
      </c>
      <c r="C117" s="42">
        <v>1475.8</v>
      </c>
      <c r="D117" s="42">
        <v>326.8</v>
      </c>
      <c r="E117" s="67">
        <v>615.6</v>
      </c>
      <c r="F117" s="64">
        <f>1601.4+194.8</f>
        <v>1796.2</v>
      </c>
      <c r="G117" s="64">
        <v>303.89999999999998</v>
      </c>
      <c r="H117" s="64"/>
      <c r="I117" s="64"/>
      <c r="J117" s="109">
        <v>207</v>
      </c>
      <c r="K117" s="42">
        <f>1458+112.9</f>
        <v>1570.9</v>
      </c>
      <c r="L117" s="123">
        <f t="shared" si="9"/>
        <v>6296.2</v>
      </c>
      <c r="M117" s="42">
        <v>118</v>
      </c>
      <c r="N117" s="138">
        <f t="shared" si="10"/>
        <v>2715.7000000000003</v>
      </c>
      <c r="O117" s="125">
        <v>171.3</v>
      </c>
      <c r="P117" s="109">
        <f t="shared" si="11"/>
        <v>2887.0000000000005</v>
      </c>
      <c r="Q117" s="155">
        <f t="shared" si="7"/>
        <v>17.155999999999999</v>
      </c>
      <c r="R117" s="39">
        <f t="shared" si="8"/>
        <v>7.8664850136239792</v>
      </c>
      <c r="S117" s="128">
        <f t="shared" si="12"/>
        <v>0.83342239494777737</v>
      </c>
      <c r="T117" s="154">
        <f t="shared" si="13"/>
        <v>6414.2</v>
      </c>
      <c r="U117" s="85"/>
      <c r="W117" s="77"/>
    </row>
    <row r="118" spans="1:75" ht="18.75" hidden="1">
      <c r="A118" s="7" t="s">
        <v>148</v>
      </c>
      <c r="B118" s="89">
        <v>446</v>
      </c>
      <c r="C118" s="42">
        <v>1522.7</v>
      </c>
      <c r="D118" s="42">
        <v>337.1</v>
      </c>
      <c r="E118" s="67">
        <v>895.9</v>
      </c>
      <c r="F118" s="64">
        <f>1579.3+204.5</f>
        <v>1783.8</v>
      </c>
      <c r="G118" s="64">
        <v>397.5</v>
      </c>
      <c r="H118" s="64"/>
      <c r="I118" s="64"/>
      <c r="J118" s="109">
        <v>219</v>
      </c>
      <c r="K118" s="42">
        <f>2165.1+167.7</f>
        <v>2332.7999999999997</v>
      </c>
      <c r="L118" s="123">
        <f t="shared" si="9"/>
        <v>7488.8</v>
      </c>
      <c r="M118" s="42">
        <v>47.4</v>
      </c>
      <c r="N118" s="138">
        <f t="shared" si="10"/>
        <v>3077.2</v>
      </c>
      <c r="O118" s="125">
        <v>169.1</v>
      </c>
      <c r="P118" s="109">
        <f t="shared" si="11"/>
        <v>3246.2999999999997</v>
      </c>
      <c r="Q118" s="155">
        <f t="shared" si="7"/>
        <v>16.791</v>
      </c>
      <c r="R118" s="39">
        <f t="shared" si="8"/>
        <v>7.2786995515695061</v>
      </c>
      <c r="S118" s="128">
        <f t="shared" si="12"/>
        <v>0.81569103716298275</v>
      </c>
      <c r="T118" s="154">
        <f t="shared" si="13"/>
        <v>7536.2</v>
      </c>
      <c r="U118" s="85"/>
      <c r="W118" s="77"/>
    </row>
    <row r="119" spans="1:75" ht="18.75" hidden="1">
      <c r="A119" s="7" t="s">
        <v>149</v>
      </c>
      <c r="B119" s="89">
        <v>400</v>
      </c>
      <c r="C119" s="42">
        <v>1569.6</v>
      </c>
      <c r="D119" s="42">
        <v>347.5</v>
      </c>
      <c r="E119" s="67">
        <v>609</v>
      </c>
      <c r="F119" s="64">
        <f>1216.9+143.1</f>
        <v>1360</v>
      </c>
      <c r="G119" s="64">
        <v>355</v>
      </c>
      <c r="H119" s="64"/>
      <c r="I119" s="64"/>
      <c r="J119" s="109">
        <v>219</v>
      </c>
      <c r="K119" s="42">
        <f>1854.3+143.6</f>
        <v>1997.8999999999999</v>
      </c>
      <c r="L119" s="123">
        <f t="shared" si="9"/>
        <v>6458</v>
      </c>
      <c r="M119" s="42">
        <v>55.2</v>
      </c>
      <c r="N119" s="138">
        <f t="shared" si="10"/>
        <v>2324</v>
      </c>
      <c r="O119" s="125">
        <v>139.19999999999999</v>
      </c>
      <c r="P119" s="109">
        <f t="shared" si="11"/>
        <v>2463.1999999999998</v>
      </c>
      <c r="Q119" s="155">
        <f t="shared" si="7"/>
        <v>16.145</v>
      </c>
      <c r="R119" s="39">
        <f t="shared" si="8"/>
        <v>6.1579999999999995</v>
      </c>
      <c r="S119" s="128">
        <f t="shared" si="12"/>
        <v>0.78430896283701723</v>
      </c>
      <c r="T119" s="154">
        <f t="shared" si="13"/>
        <v>6513.2</v>
      </c>
      <c r="U119" s="85"/>
      <c r="W119" s="77"/>
    </row>
    <row r="120" spans="1:75" ht="18.75" hidden="1">
      <c r="A120" s="7" t="s">
        <v>150</v>
      </c>
      <c r="B120" s="89">
        <v>448</v>
      </c>
      <c r="C120" s="42">
        <v>1577.4</v>
      </c>
      <c r="D120" s="42">
        <v>349.3</v>
      </c>
      <c r="E120" s="67">
        <v>1140.2</v>
      </c>
      <c r="F120" s="64">
        <v>1814.7</v>
      </c>
      <c r="G120" s="64">
        <v>247.2</v>
      </c>
      <c r="H120" s="64"/>
      <c r="I120" s="64"/>
      <c r="J120" s="109">
        <v>219</v>
      </c>
      <c r="K120" s="42">
        <f>1956.1+151.4</f>
        <v>2107.5</v>
      </c>
      <c r="L120" s="123">
        <f t="shared" si="9"/>
        <v>7455.3</v>
      </c>
      <c r="M120" s="42">
        <v>39.6</v>
      </c>
      <c r="N120" s="138">
        <f t="shared" si="10"/>
        <v>3202.1</v>
      </c>
      <c r="O120" s="125">
        <v>135.19999999999999</v>
      </c>
      <c r="P120" s="109">
        <f t="shared" si="11"/>
        <v>3337.2999999999997</v>
      </c>
      <c r="Q120" s="155">
        <f t="shared" si="7"/>
        <v>16.640999999999998</v>
      </c>
      <c r="R120" s="39">
        <f t="shared" si="8"/>
        <v>7.4493303571428564</v>
      </c>
      <c r="S120" s="128">
        <f t="shared" si="12"/>
        <v>0.80840417779936835</v>
      </c>
      <c r="T120" s="154">
        <f t="shared" si="13"/>
        <v>7494.9000000000005</v>
      </c>
      <c r="U120" s="85"/>
      <c r="W120" s="77"/>
    </row>
    <row r="121" spans="1:75" ht="18.75" hidden="1">
      <c r="A121" s="7" t="s">
        <v>151</v>
      </c>
      <c r="B121" s="89">
        <v>366</v>
      </c>
      <c r="C121" s="42">
        <v>1358.6</v>
      </c>
      <c r="D121" s="42">
        <v>300.8</v>
      </c>
      <c r="E121" s="67">
        <v>540.29999999999995</v>
      </c>
      <c r="F121" s="64">
        <f>1163.3+149.8</f>
        <v>1313.1</v>
      </c>
      <c r="G121" s="64">
        <v>189.4</v>
      </c>
      <c r="H121" s="64"/>
      <c r="I121" s="64"/>
      <c r="J121" s="109">
        <v>199</v>
      </c>
      <c r="K121" s="42">
        <f>1843.4+142.7</f>
        <v>1986.1000000000001</v>
      </c>
      <c r="L121" s="123">
        <f t="shared" si="9"/>
        <v>5887.3</v>
      </c>
      <c r="M121" s="42">
        <v>33.4</v>
      </c>
      <c r="N121" s="138">
        <f t="shared" si="10"/>
        <v>2042.8</v>
      </c>
      <c r="O121" s="125">
        <v>135.4</v>
      </c>
      <c r="P121" s="109">
        <f t="shared" si="11"/>
        <v>2178.1999999999998</v>
      </c>
      <c r="Q121" s="39">
        <f t="shared" si="7"/>
        <v>16.085999999999999</v>
      </c>
      <c r="R121" s="39">
        <f t="shared" si="8"/>
        <v>5.9513661202185784</v>
      </c>
      <c r="S121" s="128">
        <f t="shared" si="12"/>
        <v>0.78144279815399553</v>
      </c>
      <c r="T121" s="92">
        <f t="shared" si="13"/>
        <v>5920.7</v>
      </c>
      <c r="U121" s="85"/>
      <c r="W121" s="77"/>
    </row>
    <row r="122" spans="1:75" ht="18.75" hidden="1">
      <c r="A122" s="7" t="s">
        <v>152</v>
      </c>
      <c r="B122" s="89">
        <v>444</v>
      </c>
      <c r="C122" s="42">
        <v>1569.6</v>
      </c>
      <c r="D122" s="42">
        <v>347.5</v>
      </c>
      <c r="E122" s="67">
        <v>653.70000000000005</v>
      </c>
      <c r="F122" s="64">
        <f>1392.3+197.6</f>
        <v>1589.8999999999999</v>
      </c>
      <c r="G122" s="64">
        <v>222</v>
      </c>
      <c r="H122" s="64"/>
      <c r="I122" s="64"/>
      <c r="J122" s="109">
        <v>219</v>
      </c>
      <c r="K122" s="42">
        <f>2114.2+163.7</f>
        <v>2277.8999999999996</v>
      </c>
      <c r="L122" s="123">
        <f t="shared" si="9"/>
        <v>6879.6</v>
      </c>
      <c r="M122" s="42">
        <v>34.299999999999997</v>
      </c>
      <c r="N122" s="138">
        <f t="shared" si="10"/>
        <v>2465.6</v>
      </c>
      <c r="O122" s="125">
        <v>170</v>
      </c>
      <c r="P122" s="109">
        <f t="shared" si="11"/>
        <v>2635.6</v>
      </c>
      <c r="Q122" s="155">
        <f t="shared" si="7"/>
        <v>15.494999999999999</v>
      </c>
      <c r="R122" s="39">
        <f t="shared" si="8"/>
        <v>5.936036036036036</v>
      </c>
      <c r="S122" s="128">
        <f t="shared" si="12"/>
        <v>0.75273257226135526</v>
      </c>
      <c r="T122" s="154">
        <f t="shared" si="13"/>
        <v>6913.9000000000005</v>
      </c>
      <c r="U122" s="85"/>
      <c r="W122" s="77"/>
    </row>
    <row r="123" spans="1:75" ht="18.75" hidden="1">
      <c r="A123" s="7" t="s">
        <v>153</v>
      </c>
      <c r="B123" s="89">
        <v>370</v>
      </c>
      <c r="C123" s="42">
        <v>1288.2</v>
      </c>
      <c r="D123" s="42">
        <v>285.2</v>
      </c>
      <c r="E123" s="67">
        <v>772.7</v>
      </c>
      <c r="F123" s="64">
        <v>1382.1</v>
      </c>
      <c r="G123" s="64">
        <v>211.7</v>
      </c>
      <c r="H123" s="64"/>
      <c r="I123" s="64"/>
      <c r="J123" s="109">
        <v>199</v>
      </c>
      <c r="K123" s="42">
        <f>1518+117.5</f>
        <v>1635.5</v>
      </c>
      <c r="L123" s="123">
        <f t="shared" si="9"/>
        <v>5774.4</v>
      </c>
      <c r="M123" s="42">
        <v>39.4</v>
      </c>
      <c r="N123" s="138">
        <f t="shared" si="10"/>
        <v>2366.5</v>
      </c>
      <c r="O123" s="125">
        <v>136</v>
      </c>
      <c r="P123" s="109">
        <f t="shared" si="11"/>
        <v>2502.5</v>
      </c>
      <c r="Q123" s="39">
        <f t="shared" si="7"/>
        <v>15.606</v>
      </c>
      <c r="R123" s="39">
        <f t="shared" si="8"/>
        <v>6.7635135135135132</v>
      </c>
      <c r="S123" s="128">
        <f t="shared" si="12"/>
        <v>0.75812484819042991</v>
      </c>
      <c r="T123" s="92">
        <f t="shared" si="13"/>
        <v>5813.7999999999993</v>
      </c>
      <c r="U123" s="85"/>
      <c r="W123" s="77"/>
    </row>
    <row r="124" spans="1:75" ht="18.75" hidden="1">
      <c r="A124" s="7" t="s">
        <v>266</v>
      </c>
      <c r="B124" s="89">
        <v>333</v>
      </c>
      <c r="C124" s="6">
        <v>1335.1</v>
      </c>
      <c r="D124" s="110">
        <v>295.60000000000002</v>
      </c>
      <c r="E124" s="67">
        <v>556.70000000000005</v>
      </c>
      <c r="F124" s="64">
        <v>68</v>
      </c>
      <c r="G124" s="64">
        <v>187.6</v>
      </c>
      <c r="H124" s="64">
        <v>367.7</v>
      </c>
      <c r="I124" s="64"/>
      <c r="J124" s="109">
        <v>187</v>
      </c>
      <c r="K124" s="42">
        <f>1327.1+102.7</f>
        <v>1429.8</v>
      </c>
      <c r="L124" s="123">
        <f t="shared" si="9"/>
        <v>4427.5</v>
      </c>
      <c r="M124" s="42">
        <v>31.6</v>
      </c>
      <c r="N124" s="138">
        <f t="shared" si="10"/>
        <v>1180</v>
      </c>
      <c r="O124" s="125">
        <v>110.5</v>
      </c>
      <c r="P124" s="109">
        <f t="shared" si="11"/>
        <v>1290.5</v>
      </c>
      <c r="Q124" s="39">
        <f t="shared" si="7"/>
        <v>13.295999999999999</v>
      </c>
      <c r="R124" s="39">
        <f t="shared" si="8"/>
        <v>3.8753753753753752</v>
      </c>
      <c r="S124" s="128">
        <f t="shared" si="12"/>
        <v>0.64590721399076989</v>
      </c>
      <c r="T124" s="92">
        <f t="shared" si="13"/>
        <v>4459.1000000000004</v>
      </c>
      <c r="U124" s="85"/>
      <c r="W124" s="77"/>
    </row>
    <row r="125" spans="1:75" ht="18.75" hidden="1">
      <c r="A125" s="122" t="s">
        <v>160</v>
      </c>
      <c r="B125" s="89">
        <v>175</v>
      </c>
      <c r="C125" s="42">
        <v>873.9</v>
      </c>
      <c r="D125" s="42">
        <v>193.5</v>
      </c>
      <c r="E125" s="63">
        <v>438.8</v>
      </c>
      <c r="F125" s="63">
        <v>218.7</v>
      </c>
      <c r="G125" s="63">
        <v>86.7</v>
      </c>
      <c r="H125" s="69"/>
      <c r="I125" s="69"/>
      <c r="J125" s="42">
        <v>154</v>
      </c>
      <c r="K125" s="42">
        <f>808.9+62.7</f>
        <v>871.6</v>
      </c>
      <c r="L125" s="123">
        <f t="shared" si="9"/>
        <v>2837.2</v>
      </c>
      <c r="M125" s="6">
        <v>42.6</v>
      </c>
      <c r="N125" s="138">
        <f t="shared" si="10"/>
        <v>744.2</v>
      </c>
      <c r="O125" s="125">
        <v>91.5</v>
      </c>
      <c r="P125" s="109">
        <f t="shared" si="11"/>
        <v>835.7</v>
      </c>
      <c r="Q125" s="39">
        <f t="shared" si="7"/>
        <v>16.213000000000001</v>
      </c>
      <c r="R125" s="39">
        <f t="shared" si="8"/>
        <v>4.7754285714285718</v>
      </c>
      <c r="S125" s="128">
        <f t="shared" si="12"/>
        <v>0.78761233908185568</v>
      </c>
      <c r="T125" s="92">
        <f t="shared" si="13"/>
        <v>2879.7999999999997</v>
      </c>
      <c r="U125" s="85"/>
      <c r="W125" s="77"/>
      <c r="X125" s="77"/>
      <c r="Y125" s="77"/>
    </row>
    <row r="126" spans="1:75" ht="18.75" hidden="1">
      <c r="A126" s="122" t="s">
        <v>158</v>
      </c>
      <c r="B126" s="89">
        <v>103</v>
      </c>
      <c r="C126" s="42">
        <v>733.2</v>
      </c>
      <c r="D126" s="42">
        <v>162.30000000000001</v>
      </c>
      <c r="E126" s="63">
        <v>411.3</v>
      </c>
      <c r="F126" s="63">
        <v>332.5</v>
      </c>
      <c r="G126" s="63">
        <v>39.700000000000003</v>
      </c>
      <c r="H126" s="69"/>
      <c r="I126" s="69"/>
      <c r="J126" s="42">
        <v>130</v>
      </c>
      <c r="K126" s="42">
        <f>514.5+39.8</f>
        <v>554.29999999999995</v>
      </c>
      <c r="L126" s="123">
        <f t="shared" si="9"/>
        <v>2363.3000000000002</v>
      </c>
      <c r="M126" s="6">
        <v>158</v>
      </c>
      <c r="N126" s="138">
        <f t="shared" si="10"/>
        <v>783.5</v>
      </c>
      <c r="O126" s="125">
        <v>112.7</v>
      </c>
      <c r="P126" s="109">
        <f t="shared" si="11"/>
        <v>896.2</v>
      </c>
      <c r="Q126" s="39">
        <f t="shared" si="7"/>
        <v>22.945</v>
      </c>
      <c r="R126" s="39">
        <f t="shared" si="8"/>
        <v>8.7009708737864084</v>
      </c>
      <c r="S126" s="157">
        <f t="shared" si="12"/>
        <v>1.1146465873208646</v>
      </c>
      <c r="T126" s="92">
        <f t="shared" si="13"/>
        <v>2521.3000000000002</v>
      </c>
      <c r="U126" s="85"/>
      <c r="W126" s="77"/>
      <c r="X126" s="77"/>
      <c r="Y126" s="77"/>
    </row>
    <row r="127" spans="1:75" ht="18.75" hidden="1">
      <c r="A127" s="122" t="s">
        <v>154</v>
      </c>
      <c r="B127" s="89">
        <v>411</v>
      </c>
      <c r="C127" s="42">
        <v>1116.2</v>
      </c>
      <c r="D127" s="42">
        <v>247.1</v>
      </c>
      <c r="E127" s="63">
        <v>684.4</v>
      </c>
      <c r="F127" s="63">
        <f>936.2+191.3</f>
        <v>1127.5</v>
      </c>
      <c r="G127" s="63">
        <v>182.7</v>
      </c>
      <c r="H127" s="69"/>
      <c r="I127" s="69"/>
      <c r="J127" s="42">
        <v>199</v>
      </c>
      <c r="K127" s="42">
        <f>1881.5+145.8</f>
        <v>2027.3</v>
      </c>
      <c r="L127" s="123">
        <f t="shared" si="9"/>
        <v>5584.2</v>
      </c>
      <c r="M127" s="6">
        <v>81.599999999999994</v>
      </c>
      <c r="N127" s="138">
        <f t="shared" si="10"/>
        <v>1994.6000000000001</v>
      </c>
      <c r="O127" s="125">
        <v>152.9</v>
      </c>
      <c r="P127" s="109">
        <f t="shared" si="11"/>
        <v>2147.5</v>
      </c>
      <c r="Q127" s="39">
        <f t="shared" si="7"/>
        <v>13.587</v>
      </c>
      <c r="R127" s="39">
        <f t="shared" si="8"/>
        <v>5.2250608272506085</v>
      </c>
      <c r="S127" s="128">
        <f t="shared" si="12"/>
        <v>0.6600437211561816</v>
      </c>
      <c r="T127" s="92">
        <f t="shared" si="13"/>
        <v>5665.8</v>
      </c>
      <c r="U127" s="85"/>
      <c r="W127" s="77"/>
      <c r="X127" s="77"/>
      <c r="Y127" s="77"/>
    </row>
    <row r="128" spans="1:75" ht="18.75" hidden="1">
      <c r="A128" s="122" t="s">
        <v>155</v>
      </c>
      <c r="B128" s="89">
        <v>348</v>
      </c>
      <c r="C128" s="42">
        <v>1092.8</v>
      </c>
      <c r="D128" s="42">
        <v>242</v>
      </c>
      <c r="E128" s="63">
        <v>458.4</v>
      </c>
      <c r="F128" s="63">
        <v>950</v>
      </c>
      <c r="G128" s="63">
        <v>112.1</v>
      </c>
      <c r="H128" s="69"/>
      <c r="I128" s="69"/>
      <c r="J128" s="42">
        <v>177</v>
      </c>
      <c r="K128" s="42">
        <f>1828.9+141.5</f>
        <v>1970.4</v>
      </c>
      <c r="L128" s="123">
        <f t="shared" si="9"/>
        <v>5002.7</v>
      </c>
      <c r="M128" s="6">
        <v>85.4</v>
      </c>
      <c r="N128" s="138">
        <f t="shared" si="10"/>
        <v>1520.5</v>
      </c>
      <c r="O128" s="125">
        <v>123.2</v>
      </c>
      <c r="P128" s="109">
        <f t="shared" si="11"/>
        <v>1643.7</v>
      </c>
      <c r="Q128" s="39">
        <f t="shared" si="7"/>
        <v>14.375999999999999</v>
      </c>
      <c r="R128" s="39">
        <f t="shared" si="8"/>
        <v>4.7232758620689657</v>
      </c>
      <c r="S128" s="128">
        <f t="shared" si="12"/>
        <v>0.69837260140879276</v>
      </c>
      <c r="T128" s="92">
        <f t="shared" si="13"/>
        <v>5088.0999999999995</v>
      </c>
      <c r="U128" s="85"/>
      <c r="W128" s="77"/>
      <c r="X128" s="77"/>
      <c r="Y128" s="77"/>
    </row>
    <row r="129" spans="1:75" ht="18.75" hidden="1">
      <c r="A129" s="122" t="s">
        <v>156</v>
      </c>
      <c r="B129" s="89">
        <v>233</v>
      </c>
      <c r="C129" s="42">
        <v>834.8</v>
      </c>
      <c r="D129" s="42">
        <v>184.8</v>
      </c>
      <c r="E129" s="63">
        <v>314.3</v>
      </c>
      <c r="F129" s="63">
        <v>733.2</v>
      </c>
      <c r="G129" s="64">
        <v>67</v>
      </c>
      <c r="H129" s="69"/>
      <c r="I129" s="69"/>
      <c r="J129" s="42">
        <v>154</v>
      </c>
      <c r="K129" s="42">
        <f>999.8+77.4</f>
        <v>1077.2</v>
      </c>
      <c r="L129" s="123">
        <f t="shared" si="9"/>
        <v>3365.3</v>
      </c>
      <c r="M129" s="6">
        <v>100</v>
      </c>
      <c r="N129" s="138">
        <f t="shared" si="10"/>
        <v>1114.5</v>
      </c>
      <c r="O129" s="125">
        <v>110</v>
      </c>
      <c r="P129" s="109">
        <f t="shared" si="11"/>
        <v>1224.5</v>
      </c>
      <c r="Q129" s="39">
        <f t="shared" si="7"/>
        <v>14.443</v>
      </c>
      <c r="R129" s="39">
        <f t="shared" si="8"/>
        <v>5.255364806866953</v>
      </c>
      <c r="S129" s="128">
        <f t="shared" si="12"/>
        <v>0.70162739859120715</v>
      </c>
      <c r="T129" s="92">
        <f t="shared" si="13"/>
        <v>3465.3</v>
      </c>
      <c r="U129" s="85"/>
      <c r="W129" s="77"/>
      <c r="X129" s="77"/>
      <c r="Y129" s="77"/>
    </row>
    <row r="130" spans="1:75" ht="18.75" hidden="1">
      <c r="A130" s="120">
        <v>186</v>
      </c>
      <c r="B130" s="106">
        <v>348</v>
      </c>
      <c r="C130" s="44">
        <v>1186.5999999999999</v>
      </c>
      <c r="D130" s="44">
        <v>262.7</v>
      </c>
      <c r="E130" s="65">
        <v>1008.5</v>
      </c>
      <c r="F130" s="65">
        <f>2040.7+216.3</f>
        <v>2257</v>
      </c>
      <c r="G130" s="65">
        <v>162.9</v>
      </c>
      <c r="H130" s="70"/>
      <c r="I130" s="70"/>
      <c r="J130" s="44">
        <v>295</v>
      </c>
      <c r="K130" s="44">
        <f>1772.4+158.6</f>
        <v>1931</v>
      </c>
      <c r="L130" s="123">
        <f t="shared" si="9"/>
        <v>7103.7</v>
      </c>
      <c r="M130" s="97">
        <v>252.5</v>
      </c>
      <c r="N130" s="138">
        <f t="shared" si="10"/>
        <v>3428.4</v>
      </c>
      <c r="O130" s="125">
        <v>174.5</v>
      </c>
      <c r="P130" s="109">
        <f t="shared" si="11"/>
        <v>3602.9</v>
      </c>
      <c r="Q130" s="155">
        <f t="shared" si="7"/>
        <v>20.413</v>
      </c>
      <c r="R130" s="39">
        <f t="shared" si="8"/>
        <v>10.35316091954023</v>
      </c>
      <c r="S130" s="128">
        <f t="shared" si="12"/>
        <v>0.99164440126305564</v>
      </c>
      <c r="T130" s="154">
        <f t="shared" si="13"/>
        <v>7356.2</v>
      </c>
      <c r="U130" s="85"/>
      <c r="W130" s="77"/>
      <c r="X130" s="77"/>
      <c r="Y130" s="77"/>
    </row>
    <row r="131" spans="1:75" ht="18.75" hidden="1">
      <c r="A131" s="7" t="s">
        <v>162</v>
      </c>
      <c r="B131" s="89">
        <v>414</v>
      </c>
      <c r="C131" s="42">
        <v>1546.2</v>
      </c>
      <c r="D131" s="42">
        <v>342.3</v>
      </c>
      <c r="E131" s="63">
        <v>877.6</v>
      </c>
      <c r="F131" s="63">
        <f>1834.8+246.8</f>
        <v>2081.6</v>
      </c>
      <c r="G131" s="63">
        <v>344.7</v>
      </c>
      <c r="H131" s="69"/>
      <c r="I131" s="69"/>
      <c r="J131" s="6">
        <v>219</v>
      </c>
      <c r="K131" s="42">
        <f>1807+139.9</f>
        <v>1946.9</v>
      </c>
      <c r="L131" s="123">
        <f t="shared" si="9"/>
        <v>7358.3</v>
      </c>
      <c r="M131" s="6">
        <v>76.7</v>
      </c>
      <c r="N131" s="138">
        <f t="shared" si="10"/>
        <v>3303.8999999999996</v>
      </c>
      <c r="O131" s="125">
        <v>118.6</v>
      </c>
      <c r="P131" s="109">
        <f t="shared" si="11"/>
        <v>3422.4999999999995</v>
      </c>
      <c r="Q131" s="155">
        <f t="shared" si="7"/>
        <v>17.774000000000001</v>
      </c>
      <c r="R131" s="39">
        <f t="shared" si="8"/>
        <v>8.2669082125603861</v>
      </c>
      <c r="S131" s="128">
        <f t="shared" si="12"/>
        <v>0.86344425552586834</v>
      </c>
      <c r="T131" s="154">
        <f t="shared" si="13"/>
        <v>7435</v>
      </c>
      <c r="U131" s="85"/>
      <c r="W131" s="77"/>
      <c r="X131" s="77"/>
      <c r="Y131" s="77"/>
    </row>
    <row r="132" spans="1:75" ht="18.75" hidden="1">
      <c r="A132" s="122" t="s">
        <v>157</v>
      </c>
      <c r="B132" s="89">
        <v>401</v>
      </c>
      <c r="C132" s="42">
        <v>1378.5</v>
      </c>
      <c r="D132" s="42">
        <v>295.3</v>
      </c>
      <c r="E132" s="63">
        <v>802.3</v>
      </c>
      <c r="F132" s="63">
        <v>1105.7</v>
      </c>
      <c r="G132" s="63">
        <v>134.69999999999999</v>
      </c>
      <c r="H132" s="69"/>
      <c r="I132" s="69"/>
      <c r="J132" s="42">
        <v>208</v>
      </c>
      <c r="K132" s="42">
        <v>1607</v>
      </c>
      <c r="L132" s="123">
        <f t="shared" si="9"/>
        <v>5531.5</v>
      </c>
      <c r="M132" s="6">
        <v>210</v>
      </c>
      <c r="N132" s="138">
        <f t="shared" si="10"/>
        <v>2042.7</v>
      </c>
      <c r="O132" s="125">
        <v>152.9</v>
      </c>
      <c r="P132" s="109">
        <f t="shared" si="11"/>
        <v>2195.6</v>
      </c>
      <c r="Q132" s="39">
        <f t="shared" si="7"/>
        <v>13.794</v>
      </c>
      <c r="R132" s="39">
        <f t="shared" si="8"/>
        <v>5.4753117206982544</v>
      </c>
      <c r="S132" s="128">
        <f t="shared" si="12"/>
        <v>0.67009958707796935</v>
      </c>
      <c r="T132" s="92">
        <f>L132+M132</f>
        <v>5741.5</v>
      </c>
      <c r="U132" s="85"/>
      <c r="W132" s="77"/>
      <c r="X132" s="77"/>
      <c r="Y132" s="77"/>
    </row>
    <row r="133" spans="1:75" ht="18.75" hidden="1">
      <c r="A133" s="122" t="s">
        <v>159</v>
      </c>
      <c r="B133" s="89">
        <v>162</v>
      </c>
      <c r="C133" s="42">
        <v>866.1</v>
      </c>
      <c r="D133" s="42">
        <v>191.8</v>
      </c>
      <c r="E133" s="63">
        <v>196.5</v>
      </c>
      <c r="F133" s="63">
        <v>418.3</v>
      </c>
      <c r="G133" s="63">
        <v>69.7</v>
      </c>
      <c r="H133" s="69"/>
      <c r="I133" s="69"/>
      <c r="J133" s="42">
        <v>154</v>
      </c>
      <c r="K133" s="42">
        <f>867.1+67.1</f>
        <v>934.2</v>
      </c>
      <c r="L133" s="123">
        <f t="shared" si="9"/>
        <v>2830.6</v>
      </c>
      <c r="M133" s="6">
        <v>53.8</v>
      </c>
      <c r="N133" s="138">
        <f t="shared" si="10"/>
        <v>684.5</v>
      </c>
      <c r="O133" s="125">
        <v>137.80000000000001</v>
      </c>
      <c r="P133" s="109">
        <f t="shared" si="11"/>
        <v>822.3</v>
      </c>
      <c r="Q133" s="39">
        <f t="shared" ref="Q133:Q134" si="14">ROUND(L133/B133,3)</f>
        <v>17.472999999999999</v>
      </c>
      <c r="R133" s="39">
        <f t="shared" ref="R133:R135" si="15">P133/B133</f>
        <v>5.075925925925926</v>
      </c>
      <c r="S133" s="128">
        <f t="shared" si="12"/>
        <v>0.8488219577362156</v>
      </c>
      <c r="T133" s="92">
        <f t="shared" si="13"/>
        <v>2884.4</v>
      </c>
      <c r="U133" s="85"/>
      <c r="W133" s="77"/>
      <c r="X133" s="77"/>
      <c r="Y133" s="77"/>
    </row>
    <row r="134" spans="1:75" ht="18.75" hidden="1">
      <c r="A134" s="122" t="s">
        <v>161</v>
      </c>
      <c r="B134" s="89">
        <v>372</v>
      </c>
      <c r="C134" s="42">
        <v>1288.7</v>
      </c>
      <c r="D134" s="42">
        <v>285.3</v>
      </c>
      <c r="E134" s="63">
        <v>749.9</v>
      </c>
      <c r="F134" s="63">
        <v>1153</v>
      </c>
      <c r="G134" s="63">
        <v>203.2</v>
      </c>
      <c r="H134" s="69"/>
      <c r="I134" s="69"/>
      <c r="J134" s="42">
        <v>199</v>
      </c>
      <c r="K134" s="42">
        <f>1863.3+144.2</f>
        <v>2007.5</v>
      </c>
      <c r="L134" s="123">
        <f t="shared" ref="L134:L135" si="16">ROUND(C134+D134+H134+J134+K134+F134+G134+E134,1)</f>
        <v>5886.6</v>
      </c>
      <c r="M134" s="6">
        <v>907.8</v>
      </c>
      <c r="N134" s="138">
        <f>E134+F134+G134+H134+I134</f>
        <v>2106.1</v>
      </c>
      <c r="O134" s="125">
        <v>129.19999999999999</v>
      </c>
      <c r="P134" s="109">
        <f t="shared" ref="P134:P135" si="17">N134+O134</f>
        <v>2235.2999999999997</v>
      </c>
      <c r="Q134" s="39">
        <f t="shared" si="14"/>
        <v>15.824</v>
      </c>
      <c r="R134" s="39">
        <f t="shared" si="15"/>
        <v>6.0088709677419345</v>
      </c>
      <c r="S134" s="128">
        <f>Q134/20.585</f>
        <v>0.76871508379888265</v>
      </c>
      <c r="T134" s="92">
        <f t="shared" ref="T134:T135" si="18">L134+M134</f>
        <v>6794.4000000000005</v>
      </c>
      <c r="U134" s="85"/>
      <c r="W134" s="77"/>
      <c r="X134" s="77"/>
      <c r="Y134" s="77"/>
    </row>
    <row r="135" spans="1:75" ht="18.75" hidden="1">
      <c r="A135" s="122" t="s">
        <v>291</v>
      </c>
      <c r="B135" s="89"/>
      <c r="C135" s="42">
        <v>928.6</v>
      </c>
      <c r="D135" s="42">
        <v>204.9</v>
      </c>
      <c r="E135" s="63"/>
      <c r="F135" s="63"/>
      <c r="G135" s="63"/>
      <c r="H135" s="69"/>
      <c r="I135" s="69"/>
      <c r="J135" s="42"/>
      <c r="K135" s="42">
        <v>2788.6</v>
      </c>
      <c r="L135" s="123">
        <f t="shared" si="16"/>
        <v>3922.1</v>
      </c>
      <c r="M135" s="6"/>
      <c r="N135" s="138">
        <f t="shared" ref="N135" si="19">E135+F135+G135+H135+I135</f>
        <v>0</v>
      </c>
      <c r="O135" s="125">
        <v>0</v>
      </c>
      <c r="P135" s="109">
        <f t="shared" si="17"/>
        <v>0</v>
      </c>
      <c r="Q135" s="39"/>
      <c r="R135" s="39" t="e">
        <f t="shared" si="15"/>
        <v>#DIV/0!</v>
      </c>
      <c r="S135" s="128">
        <f>Q135/20.585</f>
        <v>0</v>
      </c>
      <c r="T135" s="92">
        <f t="shared" si="18"/>
        <v>3922.1</v>
      </c>
      <c r="U135" s="85"/>
      <c r="W135" s="77"/>
      <c r="X135" s="77"/>
      <c r="Y135" s="77"/>
    </row>
    <row r="136" spans="1:75" s="114" customFormat="1" ht="15.75" hidden="1">
      <c r="A136" s="111" t="s">
        <v>263</v>
      </c>
      <c r="B136" s="112">
        <f t="shared" ref="B136:J136" si="20">SUM(B4:B135)</f>
        <v>30745</v>
      </c>
      <c r="C136" s="112">
        <f t="shared" si="20"/>
        <v>136892.60000000003</v>
      </c>
      <c r="D136" s="112">
        <f t="shared" si="20"/>
        <v>30465.999999999978</v>
      </c>
      <c r="E136" s="112">
        <f t="shared" si="20"/>
        <v>60770.100000000013</v>
      </c>
      <c r="F136" s="112">
        <f t="shared" si="20"/>
        <v>110280.00000000004</v>
      </c>
      <c r="G136" s="112">
        <f t="shared" si="20"/>
        <v>14943.100000000006</v>
      </c>
      <c r="H136" s="112">
        <f t="shared" si="20"/>
        <v>395.3</v>
      </c>
      <c r="I136" s="112">
        <f t="shared" si="20"/>
        <v>67.599999999999994</v>
      </c>
      <c r="J136" s="112">
        <f t="shared" si="20"/>
        <v>22577.599999999999</v>
      </c>
      <c r="K136" s="112">
        <f>SUM(K4:K135)</f>
        <v>163343.09999999998</v>
      </c>
      <c r="L136" s="112">
        <f t="shared" ref="L136:M136" si="21">SUM(L4:L135)</f>
        <v>539311.39999999979</v>
      </c>
      <c r="M136" s="112">
        <f t="shared" si="21"/>
        <v>6870.2999999999993</v>
      </c>
      <c r="N136" s="112">
        <f>SUM(N4:N135)</f>
        <v>186456.1</v>
      </c>
      <c r="O136" s="112">
        <f>SUM(O4:O135)</f>
        <v>16232.699999999997</v>
      </c>
      <c r="P136" s="112">
        <f>N136+O136</f>
        <v>202688.8</v>
      </c>
      <c r="Q136" s="140">
        <f>ROUND(L136/B136,4)</f>
        <v>17.541399999999999</v>
      </c>
      <c r="R136" s="39">
        <f>P136/B136</f>
        <v>6.592577654903236</v>
      </c>
      <c r="S136" s="112"/>
      <c r="T136" s="112">
        <f>SUM(T4:T135)</f>
        <v>546181.70000000007</v>
      </c>
      <c r="U136" s="113"/>
      <c r="V136" s="80"/>
      <c r="W136" s="80"/>
      <c r="X136" s="80"/>
      <c r="Y136" s="80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7"/>
      <c r="BQ136" s="87"/>
      <c r="BR136" s="87"/>
      <c r="BS136" s="87"/>
      <c r="BT136" s="87"/>
      <c r="BU136" s="87"/>
      <c r="BV136" s="87"/>
      <c r="BW136" s="87"/>
    </row>
    <row r="137" spans="1:75" hidden="1">
      <c r="A137" s="89"/>
      <c r="B137" s="89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122"/>
      <c r="O137" s="7"/>
      <c r="P137" s="7"/>
      <c r="Q137" s="7"/>
      <c r="R137" s="7"/>
      <c r="S137" s="21"/>
      <c r="T137" s="39"/>
    </row>
    <row r="138" spans="1:75" hidden="1">
      <c r="A138" s="6"/>
      <c r="B138" s="115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122"/>
      <c r="O138" s="7"/>
      <c r="P138" s="7"/>
      <c r="Q138" s="7"/>
      <c r="R138" s="7"/>
      <c r="S138" s="21">
        <v>20.585000000000001</v>
      </c>
      <c r="T138" s="39"/>
    </row>
    <row r="139" spans="1:75" hidden="1">
      <c r="C139" s="95"/>
      <c r="D139" s="95"/>
      <c r="E139" s="95"/>
      <c r="F139" s="95"/>
      <c r="G139" s="95"/>
      <c r="H139" s="95"/>
      <c r="I139" s="95"/>
      <c r="J139" s="95"/>
      <c r="K139" s="95"/>
      <c r="M139" s="95"/>
      <c r="S139" s="141">
        <f>T136/B136</f>
        <v>17.764895104895107</v>
      </c>
      <c r="T139" s="116">
        <v>546181.69999999995</v>
      </c>
      <c r="V139" s="117"/>
    </row>
    <row r="140" spans="1:75" hidden="1">
      <c r="L140" s="118"/>
      <c r="N140" s="133"/>
      <c r="T140" s="116">
        <f>T139-T136</f>
        <v>0</v>
      </c>
    </row>
    <row r="141" spans="1:75" hidden="1">
      <c r="S141" s="127">
        <v>17.509</v>
      </c>
      <c r="T141" s="116"/>
    </row>
    <row r="142" spans="1:75" hidden="1">
      <c r="S142" s="127" t="s">
        <v>311</v>
      </c>
      <c r="T142" s="116"/>
    </row>
    <row r="143" spans="1:75" hidden="1">
      <c r="T143" s="116"/>
    </row>
    <row r="144" spans="1:75" hidden="1">
      <c r="T144" s="116"/>
    </row>
    <row r="145" spans="1:20" ht="18.75">
      <c r="A145" s="111" t="s">
        <v>340</v>
      </c>
      <c r="B145" s="112">
        <f>B6+B14+B17+B19+B26+B50+B56+B64+B66+B97+B99</f>
        <v>1034</v>
      </c>
      <c r="C145" s="112">
        <f t="shared" ref="C145:T145" si="22">C6+C14+C17+C19+C26+C50+C56+C64+C66+C97+C99</f>
        <v>9204.7000000000007</v>
      </c>
      <c r="D145" s="112">
        <f t="shared" si="22"/>
        <v>2038.1</v>
      </c>
      <c r="E145" s="112">
        <f t="shared" si="22"/>
        <v>3443.2</v>
      </c>
      <c r="F145" s="112">
        <f t="shared" si="22"/>
        <v>6354.7999999999993</v>
      </c>
      <c r="G145" s="112">
        <f t="shared" si="22"/>
        <v>653.40000000000009</v>
      </c>
      <c r="H145" s="112">
        <f t="shared" si="22"/>
        <v>0</v>
      </c>
      <c r="I145" s="112">
        <f t="shared" si="22"/>
        <v>0</v>
      </c>
      <c r="J145" s="112">
        <f t="shared" si="22"/>
        <v>1673</v>
      </c>
      <c r="K145" s="112">
        <f t="shared" si="22"/>
        <v>9107.9000000000015</v>
      </c>
      <c r="L145" s="112">
        <f t="shared" si="22"/>
        <v>32475.100000000006</v>
      </c>
      <c r="M145" s="112">
        <f t="shared" si="22"/>
        <v>312.60000000000002</v>
      </c>
      <c r="N145" s="112">
        <f t="shared" si="22"/>
        <v>10451.400000000001</v>
      </c>
      <c r="O145" s="112">
        <f t="shared" si="22"/>
        <v>1218.9000000000001</v>
      </c>
      <c r="P145" s="112">
        <f t="shared" si="22"/>
        <v>11670.3</v>
      </c>
      <c r="Q145" s="39">
        <f t="shared" ref="Q145" si="23">ROUND(L145/B145,3)</f>
        <v>31.407</v>
      </c>
      <c r="R145" s="39">
        <f t="shared" ref="R145" si="24">P145/B145</f>
        <v>11.286557059961314</v>
      </c>
      <c r="S145" s="157">
        <f t="shared" ref="S145" si="25">Q145/20.585</f>
        <v>1.5257226135535584</v>
      </c>
      <c r="T145" s="112">
        <f t="shared" si="22"/>
        <v>32787.699999999997</v>
      </c>
    </row>
    <row r="147" spans="1:20">
      <c r="A147" s="207" t="s">
        <v>274</v>
      </c>
      <c r="B147" s="207"/>
    </row>
    <row r="148" spans="1:20" ht="120">
      <c r="A148" s="4" t="s">
        <v>11</v>
      </c>
      <c r="B148" s="4" t="s">
        <v>260</v>
      </c>
      <c r="C148" s="71">
        <v>211</v>
      </c>
      <c r="D148" s="71">
        <v>213</v>
      </c>
      <c r="E148" s="71" t="s">
        <v>13</v>
      </c>
      <c r="F148" s="71" t="s">
        <v>267</v>
      </c>
      <c r="G148" s="71" t="s">
        <v>12</v>
      </c>
      <c r="H148" s="71" t="s">
        <v>14</v>
      </c>
      <c r="I148" s="71" t="s">
        <v>269</v>
      </c>
      <c r="J148" s="71" t="s">
        <v>15</v>
      </c>
      <c r="K148" s="73" t="s">
        <v>261</v>
      </c>
      <c r="L148" s="82" t="s">
        <v>262</v>
      </c>
      <c r="M148" s="139" t="s">
        <v>310</v>
      </c>
      <c r="N148" s="142" t="s">
        <v>297</v>
      </c>
      <c r="O148" s="143" t="s">
        <v>298</v>
      </c>
      <c r="P148" s="137" t="s">
        <v>312</v>
      </c>
      <c r="Q148" s="147" t="s">
        <v>307</v>
      </c>
      <c r="R148" s="146" t="s">
        <v>309</v>
      </c>
      <c r="S148" s="8" t="s">
        <v>313</v>
      </c>
      <c r="T148" s="43" t="s">
        <v>293</v>
      </c>
    </row>
    <row r="149" spans="1:20" ht="18.75">
      <c r="A149" s="120">
        <v>16</v>
      </c>
      <c r="B149" s="106">
        <v>82</v>
      </c>
      <c r="C149" s="52">
        <v>757.6</v>
      </c>
      <c r="D149" s="52">
        <v>227.8</v>
      </c>
      <c r="E149" s="42">
        <v>292.60000000000002</v>
      </c>
      <c r="F149" s="42">
        <v>148.9</v>
      </c>
      <c r="G149" s="42">
        <v>60.6</v>
      </c>
      <c r="H149" s="66"/>
      <c r="I149" s="66"/>
      <c r="J149" s="90">
        <v>45.4</v>
      </c>
      <c r="K149" s="90">
        <v>1071</v>
      </c>
      <c r="L149" s="123">
        <f t="shared" ref="L149:L157" si="26">ROUND(C149+D149+H149+J149+K149+F149+G149+E149,1)</f>
        <v>2603.9</v>
      </c>
      <c r="M149" s="42">
        <v>25.1</v>
      </c>
      <c r="N149" s="39">
        <f t="shared" ref="N149:N157" si="27">E149+F149+G149+H149+I149</f>
        <v>502.1</v>
      </c>
      <c r="O149" s="90">
        <v>45.4</v>
      </c>
      <c r="P149" s="92">
        <f t="shared" ref="P149:P157" si="28">N149+O149</f>
        <v>547.5</v>
      </c>
      <c r="Q149" s="39">
        <f t="shared" ref="Q149:Q157" si="29">ROUND(L149/B149,3)</f>
        <v>31.754999999999999</v>
      </c>
      <c r="R149" s="144">
        <f t="shared" ref="R149:R157" si="30">P149/B149</f>
        <v>6.6768292682926829</v>
      </c>
      <c r="S149" s="128">
        <f t="shared" ref="S149:S157" si="31">Q149/20.585</f>
        <v>1.5426281272771434</v>
      </c>
      <c r="T149" s="145">
        <f t="shared" ref="T149:T157" si="32">L149+M149</f>
        <v>2629</v>
      </c>
    </row>
    <row r="150" spans="1:20" ht="18.75">
      <c r="A150" s="120">
        <v>75</v>
      </c>
      <c r="B150" s="106">
        <v>93</v>
      </c>
      <c r="C150" s="52">
        <v>757.6</v>
      </c>
      <c r="D150" s="52">
        <v>227.8</v>
      </c>
      <c r="E150" s="42">
        <v>292.60000000000002</v>
      </c>
      <c r="F150" s="42">
        <v>197.4</v>
      </c>
      <c r="G150" s="42">
        <v>55.9</v>
      </c>
      <c r="H150" s="66"/>
      <c r="I150" s="66"/>
      <c r="J150" s="96">
        <v>45.4</v>
      </c>
      <c r="K150" s="97">
        <v>719.9</v>
      </c>
      <c r="L150" s="123">
        <f t="shared" si="26"/>
        <v>2296.6</v>
      </c>
      <c r="M150" s="42">
        <v>23.6</v>
      </c>
      <c r="N150" s="39">
        <f t="shared" si="27"/>
        <v>545.9</v>
      </c>
      <c r="O150" s="44">
        <v>45.4</v>
      </c>
      <c r="P150" s="92">
        <f t="shared" si="28"/>
        <v>591.29999999999995</v>
      </c>
      <c r="Q150" s="39">
        <f t="shared" si="29"/>
        <v>24.695</v>
      </c>
      <c r="R150" s="144">
        <f t="shared" si="30"/>
        <v>6.3580645161290317</v>
      </c>
      <c r="S150" s="128">
        <f t="shared" si="31"/>
        <v>1.1996599465630313</v>
      </c>
      <c r="T150" s="145">
        <f t="shared" si="32"/>
        <v>2320.1999999999998</v>
      </c>
    </row>
    <row r="151" spans="1:20" ht="18.75">
      <c r="A151" s="120">
        <v>85</v>
      </c>
      <c r="B151" s="106">
        <v>87</v>
      </c>
      <c r="C151" s="52">
        <v>757.6</v>
      </c>
      <c r="D151" s="52">
        <v>227.8</v>
      </c>
      <c r="E151" s="42">
        <v>273.10000000000002</v>
      </c>
      <c r="F151" s="42">
        <v>199.4</v>
      </c>
      <c r="G151" s="42">
        <v>44</v>
      </c>
      <c r="H151" s="66"/>
      <c r="I151" s="66"/>
      <c r="J151" s="96">
        <v>45.4</v>
      </c>
      <c r="K151" s="97">
        <v>857.5</v>
      </c>
      <c r="L151" s="123">
        <f t="shared" si="26"/>
        <v>2404.8000000000002</v>
      </c>
      <c r="M151" s="42">
        <v>26.9</v>
      </c>
      <c r="N151" s="39">
        <f t="shared" si="27"/>
        <v>516.5</v>
      </c>
      <c r="O151" s="44">
        <v>45.4</v>
      </c>
      <c r="P151" s="92">
        <f t="shared" si="28"/>
        <v>561.9</v>
      </c>
      <c r="Q151" s="39">
        <f t="shared" si="29"/>
        <v>27.640999999999998</v>
      </c>
      <c r="R151" s="144">
        <f t="shared" si="30"/>
        <v>6.4586206896551719</v>
      </c>
      <c r="S151" s="128">
        <f t="shared" si="31"/>
        <v>1.3427738644644156</v>
      </c>
      <c r="T151" s="145">
        <f t="shared" si="32"/>
        <v>2431.7000000000003</v>
      </c>
    </row>
    <row r="152" spans="1:20" ht="18.75">
      <c r="A152" s="120">
        <v>106</v>
      </c>
      <c r="B152" s="106">
        <v>66</v>
      </c>
      <c r="C152" s="52">
        <v>709.6</v>
      </c>
      <c r="D152" s="52">
        <v>213.3</v>
      </c>
      <c r="E152" s="42">
        <v>217.8</v>
      </c>
      <c r="F152" s="42">
        <v>143.80000000000001</v>
      </c>
      <c r="G152" s="42">
        <v>40.299999999999997</v>
      </c>
      <c r="H152" s="66"/>
      <c r="I152" s="66"/>
      <c r="J152" s="96">
        <v>38.299999999999997</v>
      </c>
      <c r="K152" s="97">
        <v>498.4</v>
      </c>
      <c r="L152" s="123">
        <f t="shared" si="26"/>
        <v>1861.5</v>
      </c>
      <c r="M152" s="42">
        <v>15.3</v>
      </c>
      <c r="N152" s="39">
        <f t="shared" si="27"/>
        <v>401.90000000000003</v>
      </c>
      <c r="O152" s="44">
        <v>38.299999999999997</v>
      </c>
      <c r="P152" s="92">
        <f t="shared" si="28"/>
        <v>440.20000000000005</v>
      </c>
      <c r="Q152" s="39">
        <f t="shared" si="29"/>
        <v>28.204999999999998</v>
      </c>
      <c r="R152" s="144">
        <f t="shared" si="30"/>
        <v>6.6696969696969708</v>
      </c>
      <c r="S152" s="128">
        <f t="shared" si="31"/>
        <v>1.3701724556716055</v>
      </c>
      <c r="T152" s="145">
        <f t="shared" si="32"/>
        <v>1876.8</v>
      </c>
    </row>
    <row r="153" spans="1:20" ht="18.75">
      <c r="A153" s="120">
        <v>139</v>
      </c>
      <c r="B153" s="106">
        <v>92</v>
      </c>
      <c r="C153" s="52">
        <v>757.6</v>
      </c>
      <c r="D153" s="52">
        <v>227.8</v>
      </c>
      <c r="E153" s="42">
        <v>338</v>
      </c>
      <c r="F153" s="42">
        <v>200.7</v>
      </c>
      <c r="G153" s="42">
        <v>51</v>
      </c>
      <c r="H153" s="66"/>
      <c r="I153" s="66"/>
      <c r="J153" s="96">
        <v>45.4</v>
      </c>
      <c r="K153" s="97">
        <v>726.4</v>
      </c>
      <c r="L153" s="123">
        <f t="shared" si="26"/>
        <v>2346.9</v>
      </c>
      <c r="M153" s="42">
        <v>25.3</v>
      </c>
      <c r="N153" s="39">
        <f t="shared" si="27"/>
        <v>589.70000000000005</v>
      </c>
      <c r="O153" s="44">
        <v>45.4</v>
      </c>
      <c r="P153" s="92">
        <f t="shared" si="28"/>
        <v>635.1</v>
      </c>
      <c r="Q153" s="39">
        <f t="shared" si="29"/>
        <v>25.51</v>
      </c>
      <c r="R153" s="144">
        <f t="shared" si="30"/>
        <v>6.9032608695652176</v>
      </c>
      <c r="S153" s="128">
        <f t="shared" si="31"/>
        <v>1.2392518824386689</v>
      </c>
      <c r="T153" s="145">
        <f t="shared" si="32"/>
        <v>2372.2000000000003</v>
      </c>
    </row>
    <row r="154" spans="1:20" ht="18.75">
      <c r="A154" s="120">
        <v>40</v>
      </c>
      <c r="B154" s="106">
        <v>51</v>
      </c>
      <c r="C154" s="52">
        <v>669.6</v>
      </c>
      <c r="D154" s="52">
        <v>201.3</v>
      </c>
      <c r="E154" s="42">
        <v>147.9</v>
      </c>
      <c r="F154" s="42">
        <v>96.2</v>
      </c>
      <c r="G154" s="42">
        <v>38.9</v>
      </c>
      <c r="H154" s="66"/>
      <c r="I154" s="66"/>
      <c r="J154" s="98">
        <v>38.299999999999997</v>
      </c>
      <c r="K154" s="44">
        <v>1177.4000000000001</v>
      </c>
      <c r="L154" s="123">
        <f t="shared" si="26"/>
        <v>2369.6</v>
      </c>
      <c r="M154" s="42">
        <v>16.3</v>
      </c>
      <c r="N154" s="39">
        <f t="shared" si="27"/>
        <v>283</v>
      </c>
      <c r="O154" s="100">
        <v>38.299999999999997</v>
      </c>
      <c r="P154" s="92">
        <f t="shared" si="28"/>
        <v>321.3</v>
      </c>
      <c r="Q154" s="39">
        <f t="shared" si="29"/>
        <v>46.463000000000001</v>
      </c>
      <c r="R154" s="144">
        <f t="shared" si="30"/>
        <v>6.3</v>
      </c>
      <c r="S154" s="128">
        <f t="shared" si="31"/>
        <v>2.2571289774107361</v>
      </c>
      <c r="T154" s="145">
        <f t="shared" si="32"/>
        <v>2385.9</v>
      </c>
    </row>
    <row r="155" spans="1:20" ht="18.75">
      <c r="A155" s="120">
        <v>115</v>
      </c>
      <c r="B155" s="106">
        <v>58</v>
      </c>
      <c r="C155" s="52">
        <v>669.6</v>
      </c>
      <c r="D155" s="52">
        <v>201.3</v>
      </c>
      <c r="E155" s="42">
        <v>234</v>
      </c>
      <c r="F155" s="42">
        <v>149.1</v>
      </c>
      <c r="G155" s="42">
        <v>32.299999999999997</v>
      </c>
      <c r="H155" s="66"/>
      <c r="I155" s="66"/>
      <c r="J155" s="98">
        <v>38.299999999999997</v>
      </c>
      <c r="K155" s="44">
        <v>570.4</v>
      </c>
      <c r="L155" s="123">
        <f t="shared" si="26"/>
        <v>1895</v>
      </c>
      <c r="M155" s="42">
        <v>21.6</v>
      </c>
      <c r="N155" s="39">
        <f t="shared" si="27"/>
        <v>415.40000000000003</v>
      </c>
      <c r="O155" s="100">
        <v>38.299999999999997</v>
      </c>
      <c r="P155" s="92">
        <f t="shared" si="28"/>
        <v>453.70000000000005</v>
      </c>
      <c r="Q155" s="39">
        <f t="shared" si="29"/>
        <v>32.671999999999997</v>
      </c>
      <c r="R155" s="144">
        <f t="shared" si="30"/>
        <v>7.8224137931034488</v>
      </c>
      <c r="S155" s="128">
        <f t="shared" si="31"/>
        <v>1.5871751275200388</v>
      </c>
      <c r="T155" s="145">
        <f t="shared" si="32"/>
        <v>1916.6</v>
      </c>
    </row>
    <row r="156" spans="1:20" ht="18.75">
      <c r="A156" s="120">
        <v>159</v>
      </c>
      <c r="B156" s="106">
        <v>70</v>
      </c>
      <c r="C156" s="52">
        <v>813.5</v>
      </c>
      <c r="D156" s="52">
        <v>244.6</v>
      </c>
      <c r="E156" s="42">
        <v>273.10000000000002</v>
      </c>
      <c r="F156" s="42">
        <v>189.1</v>
      </c>
      <c r="G156" s="42">
        <v>36.200000000000003</v>
      </c>
      <c r="H156" s="66"/>
      <c r="I156" s="66"/>
      <c r="J156" s="98">
        <v>44.2</v>
      </c>
      <c r="K156" s="44">
        <v>876.3</v>
      </c>
      <c r="L156" s="123">
        <f t="shared" si="26"/>
        <v>2477</v>
      </c>
      <c r="M156" s="42">
        <v>23</v>
      </c>
      <c r="N156" s="39">
        <f t="shared" si="27"/>
        <v>498.40000000000003</v>
      </c>
      <c r="O156" s="100">
        <v>44.2</v>
      </c>
      <c r="P156" s="92">
        <f t="shared" si="28"/>
        <v>542.6</v>
      </c>
      <c r="Q156" s="39">
        <f t="shared" si="29"/>
        <v>35.386000000000003</v>
      </c>
      <c r="R156" s="144">
        <f t="shared" si="30"/>
        <v>7.7514285714285718</v>
      </c>
      <c r="S156" s="128">
        <f t="shared" si="31"/>
        <v>1.7190187029390334</v>
      </c>
      <c r="T156" s="145">
        <f t="shared" si="32"/>
        <v>2500</v>
      </c>
    </row>
    <row r="157" spans="1:20" ht="18.75">
      <c r="A157" s="120">
        <v>173</v>
      </c>
      <c r="B157" s="106">
        <v>105</v>
      </c>
      <c r="C157" s="52">
        <v>925.4</v>
      </c>
      <c r="D157" s="52">
        <v>278.2</v>
      </c>
      <c r="E157" s="42">
        <v>247</v>
      </c>
      <c r="F157" s="42">
        <v>295.2</v>
      </c>
      <c r="G157" s="42">
        <v>65.300000000000011</v>
      </c>
      <c r="H157" s="66"/>
      <c r="I157" s="66"/>
      <c r="J157" s="98">
        <v>45.4</v>
      </c>
      <c r="K157" s="44">
        <v>921.2</v>
      </c>
      <c r="L157" s="123">
        <f t="shared" si="26"/>
        <v>2777.7</v>
      </c>
      <c r="M157" s="42">
        <v>22.3</v>
      </c>
      <c r="N157" s="39">
        <f t="shared" si="27"/>
        <v>607.5</v>
      </c>
      <c r="O157" s="100">
        <v>45.4</v>
      </c>
      <c r="P157" s="92">
        <f t="shared" si="28"/>
        <v>652.9</v>
      </c>
      <c r="Q157" s="39">
        <f t="shared" si="29"/>
        <v>26.454000000000001</v>
      </c>
      <c r="R157" s="144">
        <f t="shared" si="30"/>
        <v>6.2180952380952377</v>
      </c>
      <c r="S157" s="128">
        <f t="shared" si="31"/>
        <v>1.2851105173670148</v>
      </c>
      <c r="T157" s="145">
        <f t="shared" si="32"/>
        <v>2800</v>
      </c>
    </row>
    <row r="158" spans="1:20" ht="18.75">
      <c r="A158" s="120">
        <v>84</v>
      </c>
      <c r="B158" s="106">
        <v>100</v>
      </c>
      <c r="C158" s="42">
        <v>853.4</v>
      </c>
      <c r="D158" s="42">
        <v>256.60000000000002</v>
      </c>
      <c r="E158" s="42">
        <v>401.1</v>
      </c>
      <c r="F158" s="42">
        <v>119.3</v>
      </c>
      <c r="G158" s="42">
        <v>83.7</v>
      </c>
      <c r="H158" s="66"/>
      <c r="I158" s="66"/>
      <c r="J158" s="98">
        <v>45.4</v>
      </c>
      <c r="K158" s="44">
        <v>912.8</v>
      </c>
      <c r="L158" s="123">
        <f t="shared" ref="L158:L159" si="33">ROUND(C158+D158+H158+J158+K158+F158+G158+E158,1)</f>
        <v>2672.3</v>
      </c>
      <c r="M158" s="42">
        <v>25.5</v>
      </c>
      <c r="N158" s="39">
        <f t="shared" ref="N158:N159" si="34">E158+F158+G158+H158+I158</f>
        <v>604.1</v>
      </c>
      <c r="O158" s="100">
        <v>45.4</v>
      </c>
      <c r="P158" s="92">
        <f t="shared" ref="P158:P159" si="35">N158+O158</f>
        <v>649.5</v>
      </c>
      <c r="Q158" s="39">
        <f t="shared" ref="Q158:Q159" si="36">ROUND(L158/B158,3)</f>
        <v>26.722999999999999</v>
      </c>
      <c r="R158" s="144">
        <f t="shared" ref="R158:R159" si="37">P158/B158</f>
        <v>6.4950000000000001</v>
      </c>
      <c r="S158" s="128">
        <f t="shared" ref="S158:S159" si="38">Q158/20.585</f>
        <v>1.2981782851590964</v>
      </c>
      <c r="T158" s="145">
        <f t="shared" ref="T158:T159" si="39">L158+M158</f>
        <v>2697.8</v>
      </c>
    </row>
    <row r="159" spans="1:20" ht="18.75">
      <c r="A159" s="120">
        <v>101</v>
      </c>
      <c r="B159" s="106">
        <v>230</v>
      </c>
      <c r="C159" s="42">
        <v>1738.9</v>
      </c>
      <c r="D159" s="42">
        <v>522.79999999999995</v>
      </c>
      <c r="E159" s="42">
        <v>700.6</v>
      </c>
      <c r="F159" s="42">
        <v>425.5</v>
      </c>
      <c r="G159" s="42">
        <v>184.8</v>
      </c>
      <c r="H159" s="66"/>
      <c r="I159" s="66"/>
      <c r="J159" s="98">
        <v>61.6</v>
      </c>
      <c r="K159" s="44">
        <v>2357.4</v>
      </c>
      <c r="L159" s="123">
        <f t="shared" si="33"/>
        <v>5991.6</v>
      </c>
      <c r="M159" s="42">
        <v>27.7</v>
      </c>
      <c r="N159" s="39">
        <f t="shared" si="34"/>
        <v>1310.8999999999999</v>
      </c>
      <c r="O159" s="100">
        <v>61.6</v>
      </c>
      <c r="P159" s="92">
        <f t="shared" si="35"/>
        <v>1372.4999999999998</v>
      </c>
      <c r="Q159" s="39">
        <f t="shared" si="36"/>
        <v>26.05</v>
      </c>
      <c r="R159" s="144">
        <f t="shared" si="37"/>
        <v>5.9673913043478253</v>
      </c>
      <c r="S159" s="128">
        <f t="shared" si="38"/>
        <v>1.2654845761476803</v>
      </c>
      <c r="T159" s="145">
        <f t="shared" si="39"/>
        <v>6019.3</v>
      </c>
    </row>
    <row r="160" spans="1:20" ht="18.75">
      <c r="A160" s="111" t="s">
        <v>263</v>
      </c>
      <c r="B160" s="112">
        <f t="shared" ref="B160:P160" si="40">SUM(B149:B159)</f>
        <v>1034</v>
      </c>
      <c r="C160" s="112">
        <f t="shared" si="40"/>
        <v>9410.4</v>
      </c>
      <c r="D160" s="112">
        <f t="shared" si="40"/>
        <v>2829.2999999999993</v>
      </c>
      <c r="E160" s="112">
        <f t="shared" si="40"/>
        <v>3417.8</v>
      </c>
      <c r="F160" s="112">
        <f t="shared" si="40"/>
        <v>2164.6</v>
      </c>
      <c r="G160" s="112">
        <f t="shared" si="40"/>
        <v>693</v>
      </c>
      <c r="H160" s="112">
        <f t="shared" si="40"/>
        <v>0</v>
      </c>
      <c r="I160" s="112">
        <f t="shared" si="40"/>
        <v>0</v>
      </c>
      <c r="J160" s="112">
        <f t="shared" si="40"/>
        <v>493.09999999999997</v>
      </c>
      <c r="K160" s="112">
        <f t="shared" si="40"/>
        <v>10688.699999999999</v>
      </c>
      <c r="L160" s="112">
        <f t="shared" si="40"/>
        <v>29696.9</v>
      </c>
      <c r="M160" s="112">
        <f t="shared" si="40"/>
        <v>252.6</v>
      </c>
      <c r="N160" s="112">
        <f t="shared" si="40"/>
        <v>6275.4000000000005</v>
      </c>
      <c r="O160" s="112">
        <f t="shared" si="40"/>
        <v>493.09999999999997</v>
      </c>
      <c r="P160" s="112">
        <f t="shared" si="40"/>
        <v>6768.5</v>
      </c>
      <c r="Q160" s="39">
        <f>ROUND(L160/B160,3)</f>
        <v>28.72</v>
      </c>
      <c r="R160" s="144">
        <f>P160/B160</f>
        <v>6.5459381044487426</v>
      </c>
      <c r="S160" s="128">
        <f t="shared" ref="S160" si="41">Q160/20.585</f>
        <v>1.3951906728200145</v>
      </c>
      <c r="T160" s="112">
        <f>SUM(T149:T159)</f>
        <v>29949.5</v>
      </c>
    </row>
    <row r="163" spans="1:20">
      <c r="A163" s="207" t="s">
        <v>314</v>
      </c>
      <c r="B163" s="207"/>
      <c r="C163" s="78"/>
      <c r="D163" s="78"/>
      <c r="E163" s="79"/>
      <c r="F163" s="79"/>
      <c r="G163" s="79"/>
      <c r="H163" s="78"/>
      <c r="I163" s="78"/>
      <c r="J163" s="78"/>
      <c r="K163" s="78"/>
      <c r="L163" s="78"/>
      <c r="N163" s="25"/>
      <c r="R163" s="80"/>
      <c r="S163" s="80"/>
      <c r="T163" s="80"/>
    </row>
    <row r="164" spans="1:20" ht="120">
      <c r="A164" s="4" t="s">
        <v>11</v>
      </c>
      <c r="B164" s="4" t="s">
        <v>260</v>
      </c>
      <c r="C164" s="71">
        <v>211</v>
      </c>
      <c r="D164" s="71">
        <v>213</v>
      </c>
      <c r="E164" s="71" t="s">
        <v>13</v>
      </c>
      <c r="F164" s="71" t="s">
        <v>267</v>
      </c>
      <c r="G164" s="71" t="s">
        <v>12</v>
      </c>
      <c r="H164" s="71" t="s">
        <v>14</v>
      </c>
      <c r="I164" s="71" t="s">
        <v>269</v>
      </c>
      <c r="J164" s="71" t="s">
        <v>15</v>
      </c>
      <c r="K164" s="73" t="s">
        <v>261</v>
      </c>
      <c r="L164" s="82" t="s">
        <v>262</v>
      </c>
      <c r="M164" s="139" t="s">
        <v>310</v>
      </c>
      <c r="N164" s="142" t="s">
        <v>297</v>
      </c>
      <c r="O164" s="143" t="s">
        <v>298</v>
      </c>
      <c r="P164" s="137" t="s">
        <v>312</v>
      </c>
      <c r="Q164" s="147" t="s">
        <v>307</v>
      </c>
      <c r="R164" s="146" t="s">
        <v>309</v>
      </c>
      <c r="S164" s="8" t="s">
        <v>313</v>
      </c>
      <c r="T164" s="43" t="s">
        <v>293</v>
      </c>
    </row>
    <row r="165" spans="1:20" ht="15.75">
      <c r="A165" s="208" t="s">
        <v>264</v>
      </c>
      <c r="B165" s="209"/>
      <c r="C165" s="209"/>
      <c r="D165" s="209"/>
      <c r="E165" s="209"/>
      <c r="F165" s="209"/>
      <c r="G165" s="209"/>
      <c r="H165" s="209"/>
      <c r="I165" s="209"/>
      <c r="J165" s="209"/>
      <c r="K165" s="209"/>
      <c r="L165" s="209"/>
      <c r="M165" s="209"/>
      <c r="N165" s="209"/>
      <c r="O165" s="209"/>
      <c r="P165" s="210"/>
      <c r="Q165" s="84"/>
      <c r="R165" s="85"/>
      <c r="S165" s="85"/>
      <c r="T165" s="86"/>
    </row>
    <row r="166" spans="1:20" ht="18.75">
      <c r="A166" s="120">
        <v>16</v>
      </c>
      <c r="B166" s="106">
        <v>82</v>
      </c>
      <c r="C166" s="52">
        <v>798.9</v>
      </c>
      <c r="D166" s="52">
        <v>241.3</v>
      </c>
      <c r="E166" s="42">
        <v>176.8</v>
      </c>
      <c r="F166" s="42">
        <v>26.8</v>
      </c>
      <c r="G166" s="42">
        <v>16.7</v>
      </c>
      <c r="H166" s="66"/>
      <c r="I166" s="66"/>
      <c r="J166" s="42">
        <v>26.6</v>
      </c>
      <c r="K166" s="42">
        <v>1258.4000000000001</v>
      </c>
      <c r="L166" s="123">
        <f t="shared" ref="L166:L174" si="42">ROUND(C166+D166+H166+J166+K166+F166+G166+E166,1)</f>
        <v>2545.5</v>
      </c>
      <c r="M166" s="42">
        <v>10.9</v>
      </c>
      <c r="N166" s="39">
        <f t="shared" ref="N166:N174" si="43">E166+F166+G166+H166+I166</f>
        <v>220.3</v>
      </c>
      <c r="O166" s="42">
        <v>26.6</v>
      </c>
      <c r="P166" s="92">
        <f t="shared" ref="P166:P174" si="44">N166+O166</f>
        <v>246.9</v>
      </c>
      <c r="Q166" s="39">
        <f t="shared" ref="Q166:Q174" si="45">ROUND(L166/B166,3)</f>
        <v>31.042999999999999</v>
      </c>
      <c r="R166" s="144">
        <f t="shared" ref="R166:R174" si="46">P166/B166</f>
        <v>3.0109756097560978</v>
      </c>
      <c r="S166" s="128">
        <f t="shared" ref="S166:S174" si="47">Q166/20.585</f>
        <v>1.5080398348311876</v>
      </c>
      <c r="T166" s="145">
        <f t="shared" ref="T166:T174" si="48">L166+M166</f>
        <v>2556.4</v>
      </c>
    </row>
    <row r="167" spans="1:20" ht="18.75">
      <c r="A167" s="120">
        <v>75</v>
      </c>
      <c r="B167" s="106">
        <v>93</v>
      </c>
      <c r="C167" s="52">
        <v>798.9</v>
      </c>
      <c r="D167" s="52">
        <v>241.3</v>
      </c>
      <c r="E167" s="42">
        <v>176.8</v>
      </c>
      <c r="F167" s="42">
        <v>35.6</v>
      </c>
      <c r="G167" s="42">
        <v>15.4</v>
      </c>
      <c r="H167" s="66"/>
      <c r="I167" s="66"/>
      <c r="J167" s="42">
        <v>26.6</v>
      </c>
      <c r="K167" s="42">
        <v>938.1</v>
      </c>
      <c r="L167" s="123">
        <f t="shared" si="42"/>
        <v>2232.6999999999998</v>
      </c>
      <c r="M167" s="42">
        <v>10.199999999999999</v>
      </c>
      <c r="N167" s="39">
        <f t="shared" si="43"/>
        <v>227.8</v>
      </c>
      <c r="O167" s="42">
        <v>26.6</v>
      </c>
      <c r="P167" s="92">
        <f t="shared" si="44"/>
        <v>254.4</v>
      </c>
      <c r="Q167" s="39">
        <f t="shared" si="45"/>
        <v>24.007999999999999</v>
      </c>
      <c r="R167" s="144">
        <f t="shared" si="46"/>
        <v>2.7354838709677418</v>
      </c>
      <c r="S167" s="128">
        <f t="shared" si="47"/>
        <v>1.1662861306776777</v>
      </c>
      <c r="T167" s="145">
        <f t="shared" si="48"/>
        <v>2242.8999999999996</v>
      </c>
    </row>
    <row r="168" spans="1:20" ht="18.75">
      <c r="A168" s="120">
        <v>85</v>
      </c>
      <c r="B168" s="106">
        <v>87</v>
      </c>
      <c r="C168" s="52">
        <v>798.9</v>
      </c>
      <c r="D168" s="52">
        <v>241.3</v>
      </c>
      <c r="E168" s="42">
        <v>165.1</v>
      </c>
      <c r="F168" s="42">
        <v>35.9</v>
      </c>
      <c r="G168" s="42">
        <v>12.2</v>
      </c>
      <c r="H168" s="66"/>
      <c r="I168" s="66"/>
      <c r="J168" s="42">
        <v>26.6</v>
      </c>
      <c r="K168" s="42">
        <v>1061.4000000000001</v>
      </c>
      <c r="L168" s="123">
        <f t="shared" si="42"/>
        <v>2341.4</v>
      </c>
      <c r="M168" s="42">
        <v>11.7</v>
      </c>
      <c r="N168" s="39">
        <f t="shared" si="43"/>
        <v>213.2</v>
      </c>
      <c r="O168" s="42">
        <v>26.6</v>
      </c>
      <c r="P168" s="92">
        <f t="shared" si="44"/>
        <v>239.79999999999998</v>
      </c>
      <c r="Q168" s="39">
        <f t="shared" si="45"/>
        <v>26.913</v>
      </c>
      <c r="R168" s="144">
        <f t="shared" si="46"/>
        <v>2.7563218390804596</v>
      </c>
      <c r="S168" s="128">
        <f t="shared" si="47"/>
        <v>1.3074083070196745</v>
      </c>
      <c r="T168" s="145">
        <f t="shared" si="48"/>
        <v>2353.1</v>
      </c>
    </row>
    <row r="169" spans="1:20" ht="18.75">
      <c r="A169" s="120">
        <v>106</v>
      </c>
      <c r="B169" s="106">
        <v>66</v>
      </c>
      <c r="C169" s="52">
        <v>748.3</v>
      </c>
      <c r="D169" s="52">
        <v>226</v>
      </c>
      <c r="E169" s="42">
        <v>131.69999999999999</v>
      </c>
      <c r="F169" s="42">
        <v>26</v>
      </c>
      <c r="G169" s="42">
        <v>11.1</v>
      </c>
      <c r="H169" s="66"/>
      <c r="I169" s="66"/>
      <c r="J169" s="42">
        <v>22.4</v>
      </c>
      <c r="K169" s="42">
        <v>652.5</v>
      </c>
      <c r="L169" s="123">
        <f t="shared" si="42"/>
        <v>1818</v>
      </c>
      <c r="M169" s="42">
        <v>6.6</v>
      </c>
      <c r="N169" s="39">
        <f t="shared" si="43"/>
        <v>168.79999999999998</v>
      </c>
      <c r="O169" s="42">
        <v>22.4</v>
      </c>
      <c r="P169" s="92">
        <f t="shared" si="44"/>
        <v>191.2</v>
      </c>
      <c r="Q169" s="39">
        <f t="shared" si="45"/>
        <v>27.545000000000002</v>
      </c>
      <c r="R169" s="144">
        <f t="shared" si="46"/>
        <v>2.896969696969697</v>
      </c>
      <c r="S169" s="128">
        <f t="shared" si="47"/>
        <v>1.3381102744717028</v>
      </c>
      <c r="T169" s="145">
        <f t="shared" si="48"/>
        <v>1824.6</v>
      </c>
    </row>
    <row r="170" spans="1:20" ht="18.75">
      <c r="A170" s="120">
        <v>139</v>
      </c>
      <c r="B170" s="106">
        <v>92</v>
      </c>
      <c r="C170" s="52">
        <v>798.9</v>
      </c>
      <c r="D170" s="52">
        <v>241.3</v>
      </c>
      <c r="E170" s="42">
        <v>204.4</v>
      </c>
      <c r="F170" s="42">
        <v>36.200000000000003</v>
      </c>
      <c r="G170" s="42">
        <v>14.1</v>
      </c>
      <c r="H170" s="66"/>
      <c r="I170" s="66"/>
      <c r="J170" s="42">
        <v>26.6</v>
      </c>
      <c r="K170" s="42">
        <v>939.8</v>
      </c>
      <c r="L170" s="123">
        <f t="shared" si="42"/>
        <v>2261.3000000000002</v>
      </c>
      <c r="M170" s="42">
        <v>11</v>
      </c>
      <c r="N170" s="39">
        <f t="shared" si="43"/>
        <v>254.70000000000002</v>
      </c>
      <c r="O170" s="42">
        <v>26.6</v>
      </c>
      <c r="P170" s="92">
        <f t="shared" si="44"/>
        <v>281.3</v>
      </c>
      <c r="Q170" s="39">
        <f t="shared" si="45"/>
        <v>24.579000000000001</v>
      </c>
      <c r="R170" s="144">
        <f t="shared" si="46"/>
        <v>3.0576086956521742</v>
      </c>
      <c r="S170" s="128">
        <f t="shared" si="47"/>
        <v>1.1940247753218363</v>
      </c>
      <c r="T170" s="145">
        <f t="shared" si="48"/>
        <v>2272.3000000000002</v>
      </c>
    </row>
    <row r="171" spans="1:20" ht="18.75">
      <c r="A171" s="120">
        <v>40</v>
      </c>
      <c r="B171" s="106">
        <v>51</v>
      </c>
      <c r="C171" s="52">
        <v>706.1</v>
      </c>
      <c r="D171" s="52">
        <v>213.2</v>
      </c>
      <c r="E171" s="42">
        <v>89.4</v>
      </c>
      <c r="F171" s="42">
        <v>17.399999999999999</v>
      </c>
      <c r="G171" s="42">
        <v>10.8</v>
      </c>
      <c r="H171" s="66"/>
      <c r="I171" s="66"/>
      <c r="J171" s="42">
        <v>22.4</v>
      </c>
      <c r="K171" s="42">
        <v>1293.5999999999999</v>
      </c>
      <c r="L171" s="123">
        <f t="shared" si="42"/>
        <v>2352.9</v>
      </c>
      <c r="M171" s="42">
        <v>7.1</v>
      </c>
      <c r="N171" s="39">
        <f t="shared" si="43"/>
        <v>117.60000000000001</v>
      </c>
      <c r="O171" s="42">
        <v>22.4</v>
      </c>
      <c r="P171" s="92">
        <f t="shared" si="44"/>
        <v>140</v>
      </c>
      <c r="Q171" s="39">
        <f t="shared" si="45"/>
        <v>46.134999999999998</v>
      </c>
      <c r="R171" s="144">
        <f t="shared" si="46"/>
        <v>2.7450980392156863</v>
      </c>
      <c r="S171" s="128">
        <f t="shared" si="47"/>
        <v>2.2411950449356324</v>
      </c>
      <c r="T171" s="145">
        <f t="shared" si="48"/>
        <v>2360</v>
      </c>
    </row>
    <row r="172" spans="1:20" ht="18.75">
      <c r="A172" s="120">
        <v>115</v>
      </c>
      <c r="B172" s="106">
        <v>58</v>
      </c>
      <c r="C172" s="52">
        <v>706.1</v>
      </c>
      <c r="D172" s="52">
        <v>213.2</v>
      </c>
      <c r="E172" s="42">
        <v>141.5</v>
      </c>
      <c r="F172" s="42">
        <v>26.7</v>
      </c>
      <c r="G172" s="42">
        <v>8.9</v>
      </c>
      <c r="H172" s="66"/>
      <c r="I172" s="66"/>
      <c r="J172" s="42">
        <v>22.4</v>
      </c>
      <c r="K172" s="42">
        <v>698.4</v>
      </c>
      <c r="L172" s="123">
        <f t="shared" si="42"/>
        <v>1817.2</v>
      </c>
      <c r="M172" s="42">
        <v>9.4</v>
      </c>
      <c r="N172" s="39">
        <f t="shared" si="43"/>
        <v>177.1</v>
      </c>
      <c r="O172" s="42">
        <v>22.4</v>
      </c>
      <c r="P172" s="92">
        <f t="shared" si="44"/>
        <v>199.5</v>
      </c>
      <c r="Q172" s="39">
        <f t="shared" si="45"/>
        <v>31.331</v>
      </c>
      <c r="R172" s="144">
        <f t="shared" si="46"/>
        <v>3.4396551724137931</v>
      </c>
      <c r="S172" s="128">
        <f t="shared" si="47"/>
        <v>1.5220306048093271</v>
      </c>
      <c r="T172" s="145">
        <f t="shared" si="48"/>
        <v>1826.6000000000001</v>
      </c>
    </row>
    <row r="173" spans="1:20" ht="18.75">
      <c r="A173" s="120">
        <v>159</v>
      </c>
      <c r="B173" s="106">
        <v>70</v>
      </c>
      <c r="C173" s="52">
        <v>857.8</v>
      </c>
      <c r="D173" s="52">
        <v>259.10000000000002</v>
      </c>
      <c r="E173" s="42">
        <v>165.1</v>
      </c>
      <c r="F173" s="42">
        <v>34.1</v>
      </c>
      <c r="G173" s="42">
        <v>10</v>
      </c>
      <c r="H173" s="66"/>
      <c r="I173" s="66"/>
      <c r="J173" s="42">
        <v>25.9</v>
      </c>
      <c r="K173" s="42">
        <v>1039.8</v>
      </c>
      <c r="L173" s="123">
        <f t="shared" si="42"/>
        <v>2391.8000000000002</v>
      </c>
      <c r="M173" s="42">
        <v>10</v>
      </c>
      <c r="N173" s="39">
        <f t="shared" si="43"/>
        <v>209.2</v>
      </c>
      <c r="O173" s="42">
        <v>25.9</v>
      </c>
      <c r="P173" s="92">
        <f t="shared" si="44"/>
        <v>235.1</v>
      </c>
      <c r="Q173" s="39">
        <f t="shared" si="45"/>
        <v>34.168999999999997</v>
      </c>
      <c r="R173" s="144">
        <f t="shared" si="46"/>
        <v>3.3585714285714285</v>
      </c>
      <c r="S173" s="128">
        <f t="shared" si="47"/>
        <v>1.6598979839689092</v>
      </c>
      <c r="T173" s="145">
        <f t="shared" si="48"/>
        <v>2401.8000000000002</v>
      </c>
    </row>
    <row r="174" spans="1:20" ht="18.75">
      <c r="A174" s="120">
        <v>173</v>
      </c>
      <c r="B174" s="106">
        <v>105</v>
      </c>
      <c r="C174" s="52">
        <v>975.8</v>
      </c>
      <c r="D174" s="52">
        <v>294.7</v>
      </c>
      <c r="E174" s="42">
        <v>149.4</v>
      </c>
      <c r="F174" s="42">
        <v>53.1</v>
      </c>
      <c r="G174" s="42">
        <v>18</v>
      </c>
      <c r="H174" s="66"/>
      <c r="I174" s="66"/>
      <c r="J174" s="42">
        <v>26.6</v>
      </c>
      <c r="K174" s="42">
        <v>1158.3</v>
      </c>
      <c r="L174" s="123">
        <f t="shared" si="42"/>
        <v>2675.9</v>
      </c>
      <c r="M174" s="42">
        <v>9.6999999999999993</v>
      </c>
      <c r="N174" s="39">
        <f t="shared" si="43"/>
        <v>220.5</v>
      </c>
      <c r="O174" s="42">
        <v>26.6</v>
      </c>
      <c r="P174" s="92">
        <f t="shared" si="44"/>
        <v>247.1</v>
      </c>
      <c r="Q174" s="39">
        <f t="shared" si="45"/>
        <v>25.484999999999999</v>
      </c>
      <c r="R174" s="144">
        <f t="shared" si="46"/>
        <v>2.3533333333333335</v>
      </c>
      <c r="S174" s="128">
        <f t="shared" si="47"/>
        <v>1.2380374058780665</v>
      </c>
      <c r="T174" s="145">
        <f t="shared" si="48"/>
        <v>2685.6</v>
      </c>
    </row>
    <row r="175" spans="1:20" ht="18.75">
      <c r="A175" s="120">
        <v>84</v>
      </c>
      <c r="B175" s="106">
        <v>100</v>
      </c>
      <c r="C175" s="42">
        <v>899.9</v>
      </c>
      <c r="D175" s="42">
        <v>271.8</v>
      </c>
      <c r="E175" s="42">
        <v>242.5</v>
      </c>
      <c r="F175" s="42">
        <v>21.4</v>
      </c>
      <c r="G175" s="42">
        <v>23.1</v>
      </c>
      <c r="H175" s="66"/>
      <c r="I175" s="66"/>
      <c r="J175" s="42">
        <v>26.6</v>
      </c>
      <c r="K175" s="42">
        <v>1142.8</v>
      </c>
      <c r="L175" s="123">
        <f t="shared" ref="L175:L176" si="49">ROUND(C175+D175+H175+J175+K175+F175+G175+E175,1)</f>
        <v>2628.1</v>
      </c>
      <c r="M175" s="42">
        <v>11.1</v>
      </c>
      <c r="N175" s="39">
        <f t="shared" ref="N175:N176" si="50">E175+F175+G175+H175+I175</f>
        <v>287</v>
      </c>
      <c r="O175" s="42">
        <v>26.6</v>
      </c>
      <c r="P175" s="92">
        <f t="shared" ref="P175:P176" si="51">N175+O175</f>
        <v>313.60000000000002</v>
      </c>
      <c r="Q175" s="39">
        <f t="shared" ref="Q175:Q176" si="52">ROUND(L175/B175,3)</f>
        <v>26.280999999999999</v>
      </c>
      <c r="R175" s="144">
        <f t="shared" ref="R175:R176" si="53">P175/B175</f>
        <v>3.1360000000000001</v>
      </c>
      <c r="S175" s="128">
        <f t="shared" ref="S175:S176" si="54">Q175/20.585</f>
        <v>1.2767063395676463</v>
      </c>
      <c r="T175" s="145">
        <f t="shared" ref="T175:T176" si="55">L175+M175</f>
        <v>2639.2</v>
      </c>
    </row>
    <row r="176" spans="1:20" ht="18.75">
      <c r="A176" s="120">
        <v>101</v>
      </c>
      <c r="B176" s="106">
        <v>230</v>
      </c>
      <c r="C176" s="42">
        <v>1833.6</v>
      </c>
      <c r="D176" s="42">
        <v>553.70000000000005</v>
      </c>
      <c r="E176" s="42">
        <v>423.6</v>
      </c>
      <c r="F176" s="42">
        <v>144.30000000000001</v>
      </c>
      <c r="G176" s="42">
        <v>51</v>
      </c>
      <c r="H176" s="66"/>
      <c r="I176" s="66"/>
      <c r="J176" s="42">
        <v>36.1</v>
      </c>
      <c r="K176" s="42">
        <v>2900.5</v>
      </c>
      <c r="L176" s="123">
        <f t="shared" si="49"/>
        <v>5942.8</v>
      </c>
      <c r="M176" s="42">
        <v>12</v>
      </c>
      <c r="N176" s="39">
        <f t="shared" si="50"/>
        <v>618.90000000000009</v>
      </c>
      <c r="O176" s="42">
        <v>36.1</v>
      </c>
      <c r="P176" s="92">
        <f t="shared" si="51"/>
        <v>655.00000000000011</v>
      </c>
      <c r="Q176" s="39">
        <f t="shared" si="52"/>
        <v>25.838000000000001</v>
      </c>
      <c r="R176" s="144">
        <f t="shared" si="53"/>
        <v>2.8478260869565224</v>
      </c>
      <c r="S176" s="128">
        <f t="shared" si="54"/>
        <v>1.2551858149137722</v>
      </c>
      <c r="T176" s="145">
        <f t="shared" si="55"/>
        <v>5954.8</v>
      </c>
    </row>
    <row r="177" spans="1:20" ht="18.75">
      <c r="A177" s="111" t="s">
        <v>263</v>
      </c>
      <c r="B177" s="112">
        <f t="shared" ref="B177:O177" si="56">SUM(B166:B176)</f>
        <v>1034</v>
      </c>
      <c r="C177" s="112">
        <f t="shared" si="56"/>
        <v>9923.2000000000007</v>
      </c>
      <c r="D177" s="112">
        <f t="shared" si="56"/>
        <v>2996.9000000000005</v>
      </c>
      <c r="E177" s="112">
        <f t="shared" si="56"/>
        <v>2066.3000000000002</v>
      </c>
      <c r="F177" s="112">
        <f t="shared" si="56"/>
        <v>457.5</v>
      </c>
      <c r="G177" s="112">
        <f t="shared" si="56"/>
        <v>191.3</v>
      </c>
      <c r="H177" s="112">
        <f t="shared" si="56"/>
        <v>0</v>
      </c>
      <c r="I177" s="112">
        <f t="shared" si="56"/>
        <v>0</v>
      </c>
      <c r="J177" s="112">
        <f t="shared" si="56"/>
        <v>288.8</v>
      </c>
      <c r="K177" s="112">
        <f t="shared" si="56"/>
        <v>13083.599999999999</v>
      </c>
      <c r="L177" s="112">
        <f t="shared" si="56"/>
        <v>29007.600000000002</v>
      </c>
      <c r="M177" s="112">
        <f t="shared" si="56"/>
        <v>109.7</v>
      </c>
      <c r="N177" s="112">
        <f t="shared" si="56"/>
        <v>2715.1</v>
      </c>
      <c r="O177" s="112">
        <f t="shared" si="56"/>
        <v>288.8</v>
      </c>
      <c r="P177" s="67">
        <f t="shared" ref="P177" si="57">N177+O177</f>
        <v>3003.9</v>
      </c>
      <c r="Q177" s="39">
        <f t="shared" ref="Q177" si="58">ROUND(L177/B177,3)</f>
        <v>28.053999999999998</v>
      </c>
      <c r="R177" s="144">
        <f t="shared" ref="R177" si="59">P177/B177</f>
        <v>2.9051257253384914</v>
      </c>
      <c r="S177" s="128">
        <f t="shared" ref="S177" si="60">Q177/20.585</f>
        <v>1.3628370172455671</v>
      </c>
      <c r="T177" s="112">
        <f>SUM(T166:T176)</f>
        <v>29117.3</v>
      </c>
    </row>
  </sheetData>
  <autoFilter ref="A1:A144">
    <filterColumn colId="0">
      <filters>
        <filter val="101"/>
        <filter val="106"/>
        <filter val="115"/>
        <filter val="139"/>
        <filter val="159"/>
        <filter val="16"/>
        <filter val="173"/>
        <filter val="40"/>
        <filter val="75"/>
        <filter val="84"/>
        <filter val="85"/>
      </filters>
    </filterColumn>
  </autoFilter>
  <mergeCells count="5">
    <mergeCell ref="A163:B163"/>
    <mergeCell ref="A165:P165"/>
    <mergeCell ref="A1:B1"/>
    <mergeCell ref="A3:T3"/>
    <mergeCell ref="A147:B147"/>
  </mergeCells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>
  <sheetPr filterMode="1"/>
  <dimension ref="A1:BW202"/>
  <sheetViews>
    <sheetView topLeftCell="A179" workbookViewId="0">
      <selection activeCell="P202" sqref="P202"/>
    </sheetView>
  </sheetViews>
  <sheetFormatPr defaultRowHeight="15"/>
  <cols>
    <col min="1" max="1" width="15" style="25" customWidth="1"/>
    <col min="2" max="2" width="11.7109375" style="25" customWidth="1"/>
    <col min="3" max="3" width="10.85546875" style="25" customWidth="1"/>
    <col min="4" max="4" width="9.7109375" style="25" customWidth="1"/>
    <col min="5" max="5" width="11" style="25" customWidth="1"/>
    <col min="6" max="6" width="9.85546875" style="25" customWidth="1"/>
    <col min="7" max="7" width="10.140625" style="25" bestFit="1" customWidth="1"/>
    <col min="8" max="8" width="9.7109375" style="25" bestFit="1" customWidth="1"/>
    <col min="9" max="9" width="9.42578125" style="25" customWidth="1"/>
    <col min="10" max="10" width="11.28515625" style="25" bestFit="1" customWidth="1"/>
    <col min="11" max="11" width="10.28515625" style="25" bestFit="1" customWidth="1"/>
    <col min="12" max="12" width="11.28515625" style="25" bestFit="1" customWidth="1"/>
    <col min="13" max="13" width="10.140625" style="25" bestFit="1" customWidth="1"/>
    <col min="14" max="14" width="11.140625" style="87" customWidth="1"/>
    <col min="15" max="15" width="10" style="25" customWidth="1"/>
    <col min="16" max="16" width="16" style="25" customWidth="1"/>
    <col min="17" max="17" width="14.140625" style="25" bestFit="1" customWidth="1"/>
    <col min="18" max="18" width="12.85546875" style="25" customWidth="1"/>
    <col min="19" max="19" width="16.5703125" style="127" customWidth="1"/>
    <col min="20" max="20" width="10.42578125" style="25" customWidth="1"/>
    <col min="21" max="21" width="10.42578125" style="80" bestFit="1" customWidth="1"/>
    <col min="22" max="23" width="9.42578125" style="80" bestFit="1" customWidth="1"/>
    <col min="24" max="25" width="9.140625" style="80"/>
    <col min="26" max="75" width="9.140625" style="87"/>
    <col min="76" max="16384" width="9.140625" style="25"/>
  </cols>
  <sheetData>
    <row r="1" spans="1:75">
      <c r="A1" s="207" t="s">
        <v>273</v>
      </c>
      <c r="B1" s="207"/>
      <c r="C1" s="78"/>
      <c r="D1" s="78"/>
      <c r="E1" s="79"/>
      <c r="F1" s="79"/>
      <c r="G1" s="79"/>
      <c r="H1" s="78"/>
      <c r="I1" s="78"/>
      <c r="J1" s="78"/>
      <c r="K1" s="78"/>
      <c r="L1" s="78"/>
      <c r="M1" s="78"/>
      <c r="N1" s="130"/>
    </row>
    <row r="2" spans="1:75" ht="104.25" hidden="1" customHeight="1">
      <c r="A2" s="8" t="s">
        <v>11</v>
      </c>
      <c r="B2" s="81" t="s">
        <v>260</v>
      </c>
      <c r="C2" s="71">
        <v>211</v>
      </c>
      <c r="D2" s="71">
        <v>213</v>
      </c>
      <c r="E2" s="153" t="s">
        <v>13</v>
      </c>
      <c r="F2" s="153" t="s">
        <v>267</v>
      </c>
      <c r="G2" s="153" t="s">
        <v>12</v>
      </c>
      <c r="H2" s="153" t="s">
        <v>14</v>
      </c>
      <c r="I2" s="153" t="s">
        <v>269</v>
      </c>
      <c r="J2" s="71" t="s">
        <v>15</v>
      </c>
      <c r="K2" s="73" t="s">
        <v>261</v>
      </c>
      <c r="L2" s="82" t="s">
        <v>296</v>
      </c>
      <c r="M2" s="139" t="s">
        <v>310</v>
      </c>
      <c r="N2" s="135" t="s">
        <v>297</v>
      </c>
      <c r="O2" s="136" t="s">
        <v>298</v>
      </c>
      <c r="P2" s="137" t="s">
        <v>312</v>
      </c>
      <c r="Q2" s="148" t="s">
        <v>307</v>
      </c>
      <c r="R2" s="149" t="s">
        <v>309</v>
      </c>
      <c r="S2" s="8" t="s">
        <v>313</v>
      </c>
      <c r="T2" s="43" t="s">
        <v>293</v>
      </c>
      <c r="U2" s="75"/>
      <c r="V2" s="76"/>
      <c r="W2" s="76"/>
    </row>
    <row r="3" spans="1:75" s="87" customFormat="1" ht="15.75" hidden="1">
      <c r="A3" s="208" t="s">
        <v>264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09"/>
      <c r="S3" s="209"/>
      <c r="T3" s="210"/>
      <c r="U3" s="85"/>
      <c r="V3" s="85"/>
      <c r="W3" s="86"/>
      <c r="X3" s="86"/>
      <c r="Y3" s="80"/>
    </row>
    <row r="4" spans="1:75" ht="18.75" hidden="1">
      <c r="A4" s="88" t="s">
        <v>268</v>
      </c>
      <c r="B4" s="89"/>
      <c r="C4" s="52"/>
      <c r="D4" s="52"/>
      <c r="E4" s="44"/>
      <c r="F4" s="44"/>
      <c r="G4" s="44"/>
      <c r="H4" s="90"/>
      <c r="I4" s="90"/>
      <c r="J4" s="90"/>
      <c r="K4" s="90"/>
      <c r="L4" s="91">
        <f t="shared" ref="L4:L14" si="0">ROUND(C4+D4+H4+J4+K4+(F4/2)+G4+(E4*0.9),1)</f>
        <v>0</v>
      </c>
      <c r="M4" s="90"/>
      <c r="N4" s="131"/>
      <c r="O4" s="125" t="e">
        <f>ROUND(#REF!+(F4-(F4/2))+(E4*0.1),1)</f>
        <v>#REF!</v>
      </c>
      <c r="P4" s="125"/>
      <c r="Q4" s="125" t="e">
        <f>ROUND(#REF!+#REF!,1)</f>
        <v>#REF!</v>
      </c>
      <c r="R4" s="125"/>
      <c r="S4" s="128" t="e">
        <f>#REF!/#REF!</f>
        <v>#REF!</v>
      </c>
      <c r="T4" s="94" t="e">
        <f>S4/23.095</f>
        <v>#REF!</v>
      </c>
      <c r="U4" s="85"/>
      <c r="V4" s="85"/>
    </row>
    <row r="5" spans="1:75" ht="24" hidden="1" customHeight="1">
      <c r="A5" s="88">
        <v>75</v>
      </c>
      <c r="B5" s="89"/>
      <c r="C5" s="52"/>
      <c r="D5" s="52"/>
      <c r="E5" s="44"/>
      <c r="F5" s="44"/>
      <c r="G5" s="44"/>
      <c r="H5" s="90"/>
      <c r="I5" s="90"/>
      <c r="J5" s="96"/>
      <c r="K5" s="97"/>
      <c r="L5" s="91">
        <f t="shared" si="0"/>
        <v>0</v>
      </c>
      <c r="M5" s="44"/>
      <c r="N5" s="131"/>
      <c r="O5" s="125" t="e">
        <f>ROUND(#REF!+(F5-(F5/2))+(E5*0.1),1)</f>
        <v>#REF!</v>
      </c>
      <c r="P5" s="125"/>
      <c r="Q5" s="125" t="e">
        <f>ROUND(#REF!+#REF!,1)</f>
        <v>#REF!</v>
      </c>
      <c r="R5" s="125"/>
      <c r="S5" s="128" t="e">
        <f>#REF!/#REF!</f>
        <v>#REF!</v>
      </c>
      <c r="T5" s="94" t="e">
        <f t="shared" ref="T5:T14" si="1">S5/23.095</f>
        <v>#REF!</v>
      </c>
      <c r="U5" s="85"/>
      <c r="V5" s="85"/>
    </row>
    <row r="6" spans="1:75" ht="18.75" hidden="1">
      <c r="A6" s="88">
        <v>106</v>
      </c>
      <c r="B6" s="89"/>
      <c r="C6" s="52"/>
      <c r="D6" s="52"/>
      <c r="E6" s="44"/>
      <c r="F6" s="44"/>
      <c r="G6" s="44"/>
      <c r="H6" s="90"/>
      <c r="I6" s="90"/>
      <c r="J6" s="96"/>
      <c r="K6" s="97"/>
      <c r="L6" s="91">
        <f t="shared" si="0"/>
        <v>0</v>
      </c>
      <c r="M6" s="44"/>
      <c r="N6" s="131"/>
      <c r="O6" s="125" t="e">
        <f>ROUND(#REF!+(F6-(F6/2))+(E6*0.1),1)</f>
        <v>#REF!</v>
      </c>
      <c r="P6" s="125"/>
      <c r="Q6" s="125" t="e">
        <f>ROUND(#REF!+#REF!,1)</f>
        <v>#REF!</v>
      </c>
      <c r="R6" s="125"/>
      <c r="S6" s="128" t="e">
        <f>#REF!/#REF!</f>
        <v>#REF!</v>
      </c>
      <c r="T6" s="94" t="e">
        <f t="shared" si="1"/>
        <v>#REF!</v>
      </c>
      <c r="U6" s="85"/>
      <c r="V6" s="85"/>
    </row>
    <row r="7" spans="1:75" ht="18.75" hidden="1">
      <c r="A7" s="88">
        <v>139</v>
      </c>
      <c r="B7" s="89"/>
      <c r="C7" s="52"/>
      <c r="D7" s="52"/>
      <c r="E7" s="44"/>
      <c r="F7" s="44"/>
      <c r="G7" s="44"/>
      <c r="H7" s="90"/>
      <c r="I7" s="90"/>
      <c r="J7" s="96"/>
      <c r="K7" s="97"/>
      <c r="L7" s="91">
        <f t="shared" si="0"/>
        <v>0</v>
      </c>
      <c r="M7" s="44"/>
      <c r="N7" s="131"/>
      <c r="O7" s="125" t="e">
        <f>ROUND(#REF!+(F7-(F7/2))+(E7*0.1),1)</f>
        <v>#REF!</v>
      </c>
      <c r="P7" s="125"/>
      <c r="Q7" s="125" t="e">
        <f>ROUND(#REF!+#REF!,1)</f>
        <v>#REF!</v>
      </c>
      <c r="R7" s="125"/>
      <c r="S7" s="128" t="e">
        <f>#REF!/#REF!</f>
        <v>#REF!</v>
      </c>
      <c r="T7" s="94" t="e">
        <f t="shared" si="1"/>
        <v>#REF!</v>
      </c>
      <c r="U7" s="85"/>
      <c r="V7" s="85"/>
    </row>
    <row r="8" spans="1:75" ht="18.75" hidden="1">
      <c r="A8" s="88">
        <v>159</v>
      </c>
      <c r="B8" s="89"/>
      <c r="C8" s="52"/>
      <c r="D8" s="52"/>
      <c r="E8" s="44"/>
      <c r="F8" s="44"/>
      <c r="G8" s="44"/>
      <c r="H8" s="90"/>
      <c r="I8" s="90"/>
      <c r="J8" s="98"/>
      <c r="K8" s="44"/>
      <c r="L8" s="91">
        <f t="shared" si="0"/>
        <v>0</v>
      </c>
      <c r="M8" s="97"/>
      <c r="N8" s="131"/>
      <c r="O8" s="125" t="e">
        <f>ROUND(#REF!+(F8-(F8/2))+(E8*0.1),1)</f>
        <v>#REF!</v>
      </c>
      <c r="P8" s="125"/>
      <c r="Q8" s="125" t="e">
        <f>ROUND(#REF!+#REF!,1)</f>
        <v>#REF!</v>
      </c>
      <c r="R8" s="125"/>
      <c r="S8" s="128" t="e">
        <f>#REF!/#REF!</f>
        <v>#REF!</v>
      </c>
      <c r="T8" s="94" t="e">
        <f t="shared" si="1"/>
        <v>#REF!</v>
      </c>
      <c r="U8" s="85"/>
      <c r="V8" s="85"/>
    </row>
    <row r="9" spans="1:75" ht="18.75" hidden="1">
      <c r="A9" s="88">
        <v>173</v>
      </c>
      <c r="B9" s="89"/>
      <c r="C9" s="52"/>
      <c r="D9" s="52"/>
      <c r="E9" s="44"/>
      <c r="F9" s="44"/>
      <c r="G9" s="44"/>
      <c r="H9" s="90"/>
      <c r="I9" s="90"/>
      <c r="J9" s="98"/>
      <c r="K9" s="44"/>
      <c r="L9" s="91">
        <f t="shared" si="0"/>
        <v>0</v>
      </c>
      <c r="M9" s="97"/>
      <c r="N9" s="131"/>
      <c r="O9" s="125" t="e">
        <f>ROUND(#REF!+(F9-(F9/2))+(E9*0.1),1)</f>
        <v>#REF!</v>
      </c>
      <c r="P9" s="125"/>
      <c r="Q9" s="125" t="e">
        <f>ROUND(#REF!+#REF!,1)</f>
        <v>#REF!</v>
      </c>
      <c r="R9" s="125"/>
      <c r="S9" s="128" t="e">
        <f>#REF!/#REF!</f>
        <v>#REF!</v>
      </c>
      <c r="T9" s="94" t="e">
        <f t="shared" si="1"/>
        <v>#REF!</v>
      </c>
      <c r="U9" s="85"/>
      <c r="V9" s="85"/>
    </row>
    <row r="10" spans="1:75" ht="18.75" hidden="1">
      <c r="A10" s="88">
        <v>84</v>
      </c>
      <c r="B10" s="89"/>
      <c r="C10" s="97"/>
      <c r="D10" s="99"/>
      <c r="E10" s="100"/>
      <c r="F10" s="90"/>
      <c r="G10" s="90"/>
      <c r="H10" s="90"/>
      <c r="I10" s="90"/>
      <c r="J10" s="98"/>
      <c r="K10" s="44"/>
      <c r="L10" s="91">
        <f t="shared" si="0"/>
        <v>0</v>
      </c>
      <c r="M10" s="44"/>
      <c r="N10" s="131"/>
      <c r="O10" s="125" t="e">
        <f>ROUND(#REF!+(F10-(F10/2))+(E10*0.1),1)</f>
        <v>#REF!</v>
      </c>
      <c r="P10" s="125"/>
      <c r="Q10" s="125" t="e">
        <f>ROUND(#REF!+#REF!,1)</f>
        <v>#REF!</v>
      </c>
      <c r="R10" s="125"/>
      <c r="S10" s="128" t="e">
        <f>#REF!/#REF!</f>
        <v>#REF!</v>
      </c>
      <c r="T10" s="94" t="e">
        <f t="shared" si="1"/>
        <v>#REF!</v>
      </c>
      <c r="U10" s="85"/>
      <c r="V10" s="85"/>
    </row>
    <row r="11" spans="1:75" ht="18.75" hidden="1">
      <c r="A11" s="88">
        <v>101</v>
      </c>
      <c r="B11" s="89"/>
      <c r="C11" s="97"/>
      <c r="D11" s="99"/>
      <c r="E11" s="100"/>
      <c r="F11" s="90"/>
      <c r="G11" s="90"/>
      <c r="H11" s="90"/>
      <c r="I11" s="90"/>
      <c r="J11" s="98"/>
      <c r="K11" s="44"/>
      <c r="L11" s="91">
        <f t="shared" si="0"/>
        <v>0</v>
      </c>
      <c r="M11" s="44"/>
      <c r="N11" s="131"/>
      <c r="O11" s="125" t="e">
        <f>ROUND(#REF!+(F11-(F11/2))+(E11*0.1),1)</f>
        <v>#REF!</v>
      </c>
      <c r="P11" s="125"/>
      <c r="Q11" s="125" t="e">
        <f>ROUND(#REF!+#REF!,1)</f>
        <v>#REF!</v>
      </c>
      <c r="R11" s="125"/>
      <c r="S11" s="128" t="e">
        <f>#REF!/#REF!</f>
        <v>#REF!</v>
      </c>
      <c r="T11" s="94" t="e">
        <f t="shared" si="1"/>
        <v>#REF!</v>
      </c>
      <c r="U11" s="85"/>
      <c r="V11" s="85"/>
    </row>
    <row r="12" spans="1:75" ht="18.75" hidden="1">
      <c r="A12" s="101">
        <v>85</v>
      </c>
      <c r="B12" s="89"/>
      <c r="C12" s="52"/>
      <c r="D12" s="52"/>
      <c r="E12" s="44"/>
      <c r="F12" s="44"/>
      <c r="G12" s="44"/>
      <c r="H12" s="90"/>
      <c r="I12" s="90"/>
      <c r="J12" s="96"/>
      <c r="K12" s="97"/>
      <c r="L12" s="91">
        <f t="shared" si="0"/>
        <v>0</v>
      </c>
      <c r="M12" s="44"/>
      <c r="N12" s="131"/>
      <c r="O12" s="125" t="e">
        <f>ROUND(#REF!+(F12-(F12/2))+(E12*0.1),1)</f>
        <v>#REF!</v>
      </c>
      <c r="P12" s="125"/>
      <c r="Q12" s="125" t="e">
        <f>ROUND(#REF!+#REF!,1)</f>
        <v>#REF!</v>
      </c>
      <c r="R12" s="125"/>
      <c r="S12" s="128" t="e">
        <f>#REF!/#REF!</f>
        <v>#REF!</v>
      </c>
      <c r="T12" s="94" t="e">
        <f t="shared" si="1"/>
        <v>#REF!</v>
      </c>
      <c r="U12" s="85"/>
      <c r="V12" s="85"/>
    </row>
    <row r="13" spans="1:75" ht="18.75" hidden="1">
      <c r="A13" s="88">
        <v>40</v>
      </c>
      <c r="B13" s="89"/>
      <c r="C13" s="52"/>
      <c r="D13" s="52"/>
      <c r="E13" s="44"/>
      <c r="F13" s="44"/>
      <c r="G13" s="44"/>
      <c r="H13" s="90"/>
      <c r="I13" s="90"/>
      <c r="J13" s="98"/>
      <c r="K13" s="44"/>
      <c r="L13" s="91">
        <f t="shared" si="0"/>
        <v>0</v>
      </c>
      <c r="M13" s="97"/>
      <c r="N13" s="131"/>
      <c r="O13" s="125" t="e">
        <f>ROUND(#REF!+(F13-(F13/2))+(E13*0.1),1)</f>
        <v>#REF!</v>
      </c>
      <c r="P13" s="125"/>
      <c r="Q13" s="125" t="e">
        <f>ROUND(#REF!+#REF!,1)</f>
        <v>#REF!</v>
      </c>
      <c r="R13" s="125"/>
      <c r="S13" s="128" t="e">
        <f>#REF!/#REF!</f>
        <v>#REF!</v>
      </c>
      <c r="T13" s="94" t="e">
        <f t="shared" si="1"/>
        <v>#REF!</v>
      </c>
      <c r="U13" s="85"/>
      <c r="V13" s="85"/>
    </row>
    <row r="14" spans="1:75" ht="18.75" hidden="1">
      <c r="A14" s="88">
        <v>115</v>
      </c>
      <c r="B14" s="89"/>
      <c r="C14" s="52"/>
      <c r="D14" s="52"/>
      <c r="E14" s="44"/>
      <c r="F14" s="44"/>
      <c r="G14" s="44"/>
      <c r="H14" s="90"/>
      <c r="I14" s="90"/>
      <c r="J14" s="98"/>
      <c r="K14" s="44"/>
      <c r="L14" s="91">
        <f t="shared" si="0"/>
        <v>0</v>
      </c>
      <c r="M14" s="97"/>
      <c r="N14" s="131"/>
      <c r="O14" s="125" t="e">
        <f>ROUND(#REF!+(F14-(F14/2))+(E14*0.1),1)</f>
        <v>#REF!</v>
      </c>
      <c r="P14" s="125"/>
      <c r="Q14" s="125" t="e">
        <f>ROUND(#REF!+#REF!,1)</f>
        <v>#REF!</v>
      </c>
      <c r="R14" s="125"/>
      <c r="S14" s="128" t="e">
        <f>#REF!/#REF!</f>
        <v>#REF!</v>
      </c>
      <c r="T14" s="94" t="e">
        <f t="shared" si="1"/>
        <v>#REF!</v>
      </c>
      <c r="U14" s="85"/>
      <c r="V14" s="85"/>
    </row>
    <row r="15" spans="1:75" s="105" customFormat="1" hidden="1">
      <c r="A15" s="119" t="s">
        <v>16</v>
      </c>
      <c r="B15" s="102">
        <f t="shared" ref="B15:T15" si="2">SUM(B4:B14)</f>
        <v>0</v>
      </c>
      <c r="C15" s="103">
        <f t="shared" si="2"/>
        <v>0</v>
      </c>
      <c r="D15" s="103">
        <f t="shared" si="2"/>
        <v>0</v>
      </c>
      <c r="E15" s="103">
        <f t="shared" si="2"/>
        <v>0</v>
      </c>
      <c r="F15" s="103">
        <f t="shared" si="2"/>
        <v>0</v>
      </c>
      <c r="G15" s="103">
        <f t="shared" si="2"/>
        <v>0</v>
      </c>
      <c r="H15" s="103">
        <f t="shared" si="2"/>
        <v>0</v>
      </c>
      <c r="I15" s="103">
        <f t="shared" si="2"/>
        <v>0</v>
      </c>
      <c r="J15" s="103">
        <f t="shared" si="2"/>
        <v>0</v>
      </c>
      <c r="K15" s="103">
        <f t="shared" si="2"/>
        <v>0</v>
      </c>
      <c r="L15" s="103">
        <f t="shared" si="2"/>
        <v>0</v>
      </c>
      <c r="M15" s="103">
        <f t="shared" ref="M15" si="3">SUM(M4:M14)</f>
        <v>0</v>
      </c>
      <c r="N15" s="132"/>
      <c r="O15" s="103" t="e">
        <f t="shared" si="2"/>
        <v>#REF!</v>
      </c>
      <c r="P15" s="103"/>
      <c r="Q15" s="103" t="e">
        <f t="shared" si="2"/>
        <v>#REF!</v>
      </c>
      <c r="R15" s="103"/>
      <c r="S15" s="129" t="e">
        <f t="shared" si="2"/>
        <v>#REF!</v>
      </c>
      <c r="T15" s="103" t="e">
        <f t="shared" si="2"/>
        <v>#REF!</v>
      </c>
      <c r="U15" s="85"/>
      <c r="V15" s="85"/>
      <c r="W15" s="80"/>
      <c r="X15" s="80"/>
      <c r="Y15" s="80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</row>
    <row r="16" spans="1:75" ht="15.75" hidden="1">
      <c r="A16" s="211" t="s">
        <v>265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2"/>
      <c r="S16" s="212"/>
      <c r="T16" s="213"/>
      <c r="U16" s="85"/>
      <c r="V16" s="85"/>
    </row>
    <row r="17" spans="1:75" ht="18.75" hidden="1">
      <c r="A17" s="7" t="s">
        <v>66</v>
      </c>
      <c r="B17" s="89">
        <v>155</v>
      </c>
      <c r="C17" s="51">
        <v>741</v>
      </c>
      <c r="D17" s="51">
        <v>164.1</v>
      </c>
      <c r="E17" s="63">
        <v>203</v>
      </c>
      <c r="F17" s="63">
        <v>771.6</v>
      </c>
      <c r="G17" s="63">
        <v>78.7</v>
      </c>
      <c r="H17" s="64"/>
      <c r="I17" s="64"/>
      <c r="J17" s="42">
        <v>154</v>
      </c>
      <c r="K17" s="42">
        <f>665.4+51.6</f>
        <v>717</v>
      </c>
      <c r="L17" s="123">
        <f>ROUND(C17+D17+H17+J17+K17+F17+G17+E17,1)</f>
        <v>2829.4</v>
      </c>
      <c r="M17" s="42">
        <v>30.7</v>
      </c>
      <c r="N17" s="138">
        <f>E17+F17+G17+H17+I17</f>
        <v>1053.3</v>
      </c>
      <c r="O17" s="125">
        <v>99.3</v>
      </c>
      <c r="P17" s="109">
        <f>N17+O17</f>
        <v>1152.5999999999999</v>
      </c>
      <c r="Q17" s="39">
        <f t="shared" ref="Q17:Q81" si="4">ROUND(L17/B17,3)</f>
        <v>18.254000000000001</v>
      </c>
      <c r="R17" s="39">
        <f t="shared" ref="R17:R81" si="5">P17/B17</f>
        <v>7.436129032258064</v>
      </c>
      <c r="S17" s="128">
        <f>Q17/20.585</f>
        <v>0.88676220548943407</v>
      </c>
      <c r="T17" s="92">
        <f>L17+M17</f>
        <v>2860.1</v>
      </c>
      <c r="U17" s="85"/>
      <c r="V17" s="85"/>
      <c r="W17" s="77"/>
    </row>
    <row r="18" spans="1:75" s="107" customFormat="1" ht="18.75" hidden="1">
      <c r="A18" s="120">
        <v>16</v>
      </c>
      <c r="B18" s="106">
        <v>82</v>
      </c>
      <c r="C18" s="52">
        <v>741</v>
      </c>
      <c r="D18" s="52">
        <v>164.1</v>
      </c>
      <c r="E18" s="65">
        <v>294.7</v>
      </c>
      <c r="F18" s="65">
        <v>384.9</v>
      </c>
      <c r="G18" s="65">
        <v>57.1</v>
      </c>
      <c r="H18" s="66"/>
      <c r="I18" s="66"/>
      <c r="J18" s="90">
        <v>154</v>
      </c>
      <c r="K18" s="90">
        <f>896.2+69.4</f>
        <v>965.6</v>
      </c>
      <c r="L18" s="123">
        <f t="shared" ref="L18:L82" si="6">ROUND(C18+D18+H18+J18+K18+F18+G18+E18,1)</f>
        <v>2761.4</v>
      </c>
      <c r="M18" s="42">
        <v>31</v>
      </c>
      <c r="N18" s="138">
        <f t="shared" ref="N18:N82" si="7">E18+F18+G18+H18+I18</f>
        <v>736.69999999999993</v>
      </c>
      <c r="O18" s="125">
        <v>113.7</v>
      </c>
      <c r="P18" s="109">
        <f t="shared" ref="P18:P82" si="8">N18+O18</f>
        <v>850.4</v>
      </c>
      <c r="Q18" s="39">
        <f t="shared" si="4"/>
        <v>33.676000000000002</v>
      </c>
      <c r="R18" s="39">
        <f t="shared" si="5"/>
        <v>10.370731707317074</v>
      </c>
      <c r="S18" s="157">
        <f t="shared" ref="S18:S82" si="9">Q18/20.585</f>
        <v>1.6359485061938306</v>
      </c>
      <c r="T18" s="92">
        <f t="shared" ref="T18:T82" si="10">L18+M18</f>
        <v>2792.4</v>
      </c>
      <c r="U18" s="85"/>
      <c r="V18" s="85"/>
      <c r="W18" s="77"/>
      <c r="X18" s="80"/>
      <c r="Y18" s="80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</row>
    <row r="19" spans="1:75" ht="18.75" hidden="1">
      <c r="A19" s="7" t="s">
        <v>67</v>
      </c>
      <c r="B19" s="89">
        <v>123</v>
      </c>
      <c r="C19" s="51">
        <v>647.20000000000005</v>
      </c>
      <c r="D19" s="51">
        <v>143.30000000000001</v>
      </c>
      <c r="E19" s="63">
        <v>275.10000000000002</v>
      </c>
      <c r="F19" s="63">
        <v>297.39999999999998</v>
      </c>
      <c r="G19" s="63">
        <v>82.4</v>
      </c>
      <c r="H19" s="64"/>
      <c r="I19" s="64"/>
      <c r="J19" s="108">
        <v>130</v>
      </c>
      <c r="K19" s="6">
        <f>527.2+40.8</f>
        <v>568</v>
      </c>
      <c r="L19" s="123">
        <f t="shared" si="6"/>
        <v>2143.4</v>
      </c>
      <c r="M19" s="42">
        <v>16.7</v>
      </c>
      <c r="N19" s="138">
        <f t="shared" si="7"/>
        <v>654.9</v>
      </c>
      <c r="O19" s="125">
        <v>94.5</v>
      </c>
      <c r="P19" s="109">
        <f t="shared" si="8"/>
        <v>749.4</v>
      </c>
      <c r="Q19" s="39">
        <f t="shared" si="4"/>
        <v>17.425999999999998</v>
      </c>
      <c r="R19" s="39">
        <f t="shared" si="5"/>
        <v>6.0926829268292684</v>
      </c>
      <c r="S19" s="128">
        <f t="shared" si="9"/>
        <v>0.84653874180228306</v>
      </c>
      <c r="T19" s="92">
        <f t="shared" si="10"/>
        <v>2160.1</v>
      </c>
      <c r="U19" s="85"/>
      <c r="V19" s="85"/>
      <c r="W19" s="77"/>
    </row>
    <row r="20" spans="1:75" ht="18.75" hidden="1">
      <c r="A20" s="7" t="s">
        <v>68</v>
      </c>
      <c r="B20" s="89">
        <v>183</v>
      </c>
      <c r="C20" s="51">
        <v>811.4</v>
      </c>
      <c r="D20" s="51">
        <v>179.7</v>
      </c>
      <c r="E20" s="63">
        <v>206.3</v>
      </c>
      <c r="F20" s="63">
        <v>350.6</v>
      </c>
      <c r="G20" s="63">
        <v>62.8</v>
      </c>
      <c r="H20" s="64"/>
      <c r="I20" s="64"/>
      <c r="J20" s="108">
        <v>154</v>
      </c>
      <c r="K20" s="6">
        <f>858.1+66.4</f>
        <v>924.5</v>
      </c>
      <c r="L20" s="123">
        <f t="shared" si="6"/>
        <v>2689.3</v>
      </c>
      <c r="M20" s="42">
        <v>24</v>
      </c>
      <c r="N20" s="138">
        <f t="shared" si="7"/>
        <v>619.70000000000005</v>
      </c>
      <c r="O20" s="125">
        <v>105.3</v>
      </c>
      <c r="P20" s="109">
        <f t="shared" si="8"/>
        <v>725</v>
      </c>
      <c r="Q20" s="39">
        <f t="shared" si="4"/>
        <v>14.696</v>
      </c>
      <c r="R20" s="39">
        <f t="shared" si="5"/>
        <v>3.9617486338797816</v>
      </c>
      <c r="S20" s="128">
        <f t="shared" si="9"/>
        <v>0.71391790138450328</v>
      </c>
      <c r="T20" s="92">
        <f t="shared" si="10"/>
        <v>2713.3</v>
      </c>
      <c r="U20" s="85"/>
      <c r="V20" s="85"/>
      <c r="W20" s="77"/>
    </row>
    <row r="21" spans="1:75" ht="18.75" hidden="1">
      <c r="A21" s="7" t="s">
        <v>69</v>
      </c>
      <c r="B21" s="89">
        <v>173</v>
      </c>
      <c r="C21" s="51">
        <v>741</v>
      </c>
      <c r="D21" s="51">
        <v>164.1</v>
      </c>
      <c r="E21" s="63">
        <v>278.3</v>
      </c>
      <c r="F21" s="63">
        <v>479.4</v>
      </c>
      <c r="G21" s="63">
        <v>48.3</v>
      </c>
      <c r="H21" s="64"/>
      <c r="I21" s="64"/>
      <c r="J21" s="108">
        <v>154</v>
      </c>
      <c r="K21" s="6">
        <f>745.3+57.7</f>
        <v>803</v>
      </c>
      <c r="L21" s="123">
        <f t="shared" si="6"/>
        <v>2668.1</v>
      </c>
      <c r="M21" s="42">
        <v>20.9</v>
      </c>
      <c r="N21" s="138">
        <f t="shared" si="7"/>
        <v>806</v>
      </c>
      <c r="O21" s="125">
        <v>96.6</v>
      </c>
      <c r="P21" s="109">
        <f t="shared" si="8"/>
        <v>902.6</v>
      </c>
      <c r="Q21" s="39">
        <f t="shared" si="4"/>
        <v>15.423</v>
      </c>
      <c r="R21" s="39">
        <f t="shared" si="5"/>
        <v>5.2173410404624283</v>
      </c>
      <c r="S21" s="128">
        <f t="shared" si="9"/>
        <v>0.74923487976682046</v>
      </c>
      <c r="T21" s="92">
        <f t="shared" si="10"/>
        <v>2689</v>
      </c>
      <c r="U21" s="85"/>
      <c r="V21" s="85"/>
      <c r="W21" s="77"/>
    </row>
    <row r="22" spans="1:75" ht="18.75" hidden="1">
      <c r="A22" s="7" t="s">
        <v>70</v>
      </c>
      <c r="B22" s="89">
        <v>207</v>
      </c>
      <c r="C22" s="51">
        <v>787.9</v>
      </c>
      <c r="D22" s="51">
        <v>174.5</v>
      </c>
      <c r="E22" s="63">
        <v>225.9</v>
      </c>
      <c r="F22" s="63">
        <v>537.1</v>
      </c>
      <c r="G22" s="63">
        <v>57.4</v>
      </c>
      <c r="H22" s="64"/>
      <c r="I22" s="64"/>
      <c r="J22" s="108">
        <v>154</v>
      </c>
      <c r="K22" s="6">
        <f>987.2+76.5</f>
        <v>1063.7</v>
      </c>
      <c r="L22" s="123">
        <f t="shared" si="6"/>
        <v>3000.5</v>
      </c>
      <c r="M22" s="42">
        <v>28.8</v>
      </c>
      <c r="N22" s="138">
        <f t="shared" si="7"/>
        <v>820.4</v>
      </c>
      <c r="O22" s="125">
        <v>119.3</v>
      </c>
      <c r="P22" s="109">
        <f t="shared" si="8"/>
        <v>939.69999999999993</v>
      </c>
      <c r="Q22" s="39">
        <f t="shared" si="4"/>
        <v>14.494999999999999</v>
      </c>
      <c r="R22" s="39">
        <f t="shared" si="5"/>
        <v>4.5396135265700481</v>
      </c>
      <c r="S22" s="128">
        <f t="shared" si="9"/>
        <v>0.70415350983726011</v>
      </c>
      <c r="T22" s="92">
        <f t="shared" si="10"/>
        <v>3029.3</v>
      </c>
      <c r="U22" s="85"/>
      <c r="V22" s="85"/>
      <c r="W22" s="77"/>
    </row>
    <row r="23" spans="1:75" ht="18.75" hidden="1">
      <c r="A23" s="7" t="s">
        <v>71</v>
      </c>
      <c r="B23" s="89">
        <v>203</v>
      </c>
      <c r="C23" s="51">
        <v>787.9</v>
      </c>
      <c r="D23" s="51">
        <v>174.5</v>
      </c>
      <c r="E23" s="63">
        <v>360.2</v>
      </c>
      <c r="F23" s="63">
        <v>594.79999999999995</v>
      </c>
      <c r="G23" s="63">
        <v>64.400000000000006</v>
      </c>
      <c r="H23" s="64"/>
      <c r="I23" s="64"/>
      <c r="J23" s="108">
        <v>154</v>
      </c>
      <c r="K23" s="6">
        <f>974.4+75.5</f>
        <v>1049.9000000000001</v>
      </c>
      <c r="L23" s="123">
        <f t="shared" si="6"/>
        <v>3185.7</v>
      </c>
      <c r="M23" s="42">
        <v>25.3</v>
      </c>
      <c r="N23" s="138">
        <f t="shared" si="7"/>
        <v>1019.4</v>
      </c>
      <c r="O23" s="125">
        <v>135.5</v>
      </c>
      <c r="P23" s="109">
        <f t="shared" si="8"/>
        <v>1154.9000000000001</v>
      </c>
      <c r="Q23" s="39">
        <f t="shared" si="4"/>
        <v>15.693</v>
      </c>
      <c r="R23" s="39">
        <f t="shared" si="5"/>
        <v>5.6891625615763548</v>
      </c>
      <c r="S23" s="128">
        <f t="shared" si="9"/>
        <v>0.76235122662132615</v>
      </c>
      <c r="T23" s="92">
        <f t="shared" si="10"/>
        <v>3211</v>
      </c>
      <c r="U23" s="85"/>
      <c r="V23" s="85"/>
      <c r="W23" s="77"/>
    </row>
    <row r="24" spans="1:75" ht="18.75" hidden="1">
      <c r="A24" s="7" t="s">
        <v>72</v>
      </c>
      <c r="B24" s="89">
        <v>188</v>
      </c>
      <c r="C24" s="51">
        <v>787.9</v>
      </c>
      <c r="D24" s="51">
        <v>174.5</v>
      </c>
      <c r="E24" s="63">
        <v>301.3</v>
      </c>
      <c r="F24" s="63">
        <v>474.1</v>
      </c>
      <c r="G24" s="63">
        <v>68.3</v>
      </c>
      <c r="H24" s="64"/>
      <c r="I24" s="64"/>
      <c r="J24" s="108">
        <v>154</v>
      </c>
      <c r="K24" s="6">
        <f>961.7+74.5</f>
        <v>1036.2</v>
      </c>
      <c r="L24" s="123">
        <f t="shared" si="6"/>
        <v>2996.3</v>
      </c>
      <c r="M24" s="42">
        <v>26.5</v>
      </c>
      <c r="N24" s="138">
        <f t="shared" si="7"/>
        <v>843.7</v>
      </c>
      <c r="O24" s="125">
        <v>120.1</v>
      </c>
      <c r="P24" s="109">
        <f t="shared" si="8"/>
        <v>963.80000000000007</v>
      </c>
      <c r="Q24" s="39">
        <f t="shared" si="4"/>
        <v>15.938000000000001</v>
      </c>
      <c r="R24" s="39">
        <f t="shared" si="5"/>
        <v>5.1265957446808512</v>
      </c>
      <c r="S24" s="128">
        <f t="shared" si="9"/>
        <v>0.77425309691522959</v>
      </c>
      <c r="T24" s="92">
        <f t="shared" si="10"/>
        <v>3022.8</v>
      </c>
      <c r="U24" s="85"/>
      <c r="V24" s="85"/>
      <c r="W24" s="77"/>
    </row>
    <row r="25" spans="1:75" ht="18.75" hidden="1">
      <c r="A25" s="7" t="s">
        <v>73</v>
      </c>
      <c r="B25" s="89">
        <v>180</v>
      </c>
      <c r="C25" s="51">
        <v>741</v>
      </c>
      <c r="D25" s="51">
        <v>164.1</v>
      </c>
      <c r="E25" s="63">
        <v>347.1</v>
      </c>
      <c r="F25" s="63">
        <v>497.6</v>
      </c>
      <c r="G25" s="63">
        <v>61.2</v>
      </c>
      <c r="H25" s="64"/>
      <c r="I25" s="64"/>
      <c r="J25" s="108">
        <v>154</v>
      </c>
      <c r="K25" s="6">
        <f>714.5+55.3</f>
        <v>769.8</v>
      </c>
      <c r="L25" s="123">
        <f t="shared" si="6"/>
        <v>2734.8</v>
      </c>
      <c r="M25" s="42">
        <v>38.1</v>
      </c>
      <c r="N25" s="138">
        <f t="shared" si="7"/>
        <v>905.90000000000009</v>
      </c>
      <c r="O25" s="125">
        <v>132.5</v>
      </c>
      <c r="P25" s="109">
        <f t="shared" si="8"/>
        <v>1038.4000000000001</v>
      </c>
      <c r="Q25" s="39">
        <f t="shared" si="4"/>
        <v>15.193</v>
      </c>
      <c r="R25" s="39">
        <f t="shared" si="5"/>
        <v>5.7688888888888892</v>
      </c>
      <c r="S25" s="128">
        <f t="shared" si="9"/>
        <v>0.73806169540927857</v>
      </c>
      <c r="T25" s="92">
        <f t="shared" si="10"/>
        <v>2772.9</v>
      </c>
      <c r="U25" s="85"/>
      <c r="V25" s="85"/>
      <c r="W25" s="77"/>
    </row>
    <row r="26" spans="1:75" s="107" customFormat="1" ht="18.75" hidden="1">
      <c r="A26" s="120">
        <v>75</v>
      </c>
      <c r="B26" s="106">
        <v>93</v>
      </c>
      <c r="C26" s="52">
        <v>741</v>
      </c>
      <c r="D26" s="52">
        <v>164.1</v>
      </c>
      <c r="E26" s="65">
        <v>294.7</v>
      </c>
      <c r="F26" s="65">
        <v>510.9</v>
      </c>
      <c r="G26" s="65">
        <v>52.7</v>
      </c>
      <c r="H26" s="66"/>
      <c r="I26" s="66"/>
      <c r="J26" s="96">
        <v>154</v>
      </c>
      <c r="K26" s="97">
        <f>516.3+39.9</f>
        <v>556.19999999999993</v>
      </c>
      <c r="L26" s="123">
        <f t="shared" si="6"/>
        <v>2473.6</v>
      </c>
      <c r="M26" s="42">
        <v>29.2</v>
      </c>
      <c r="N26" s="138">
        <f t="shared" si="7"/>
        <v>858.3</v>
      </c>
      <c r="O26" s="125">
        <v>114.3</v>
      </c>
      <c r="P26" s="109">
        <f t="shared" si="8"/>
        <v>972.59999999999991</v>
      </c>
      <c r="Q26" s="39">
        <f t="shared" si="4"/>
        <v>26.597999999999999</v>
      </c>
      <c r="R26" s="39">
        <f t="shared" si="5"/>
        <v>10.458064516129031</v>
      </c>
      <c r="S26" s="157">
        <f t="shared" si="9"/>
        <v>1.2921059023560844</v>
      </c>
      <c r="T26" s="92">
        <f t="shared" si="10"/>
        <v>2502.7999999999997</v>
      </c>
      <c r="U26" s="85"/>
      <c r="V26" s="80"/>
      <c r="W26" s="77"/>
      <c r="X26" s="80"/>
      <c r="Y26" s="80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</row>
    <row r="27" spans="1:75" s="107" customFormat="1" ht="18.75" hidden="1">
      <c r="A27" s="120">
        <v>80</v>
      </c>
      <c r="B27" s="106">
        <v>360</v>
      </c>
      <c r="C27" s="52">
        <v>1529</v>
      </c>
      <c r="D27" s="52">
        <v>338.5</v>
      </c>
      <c r="E27" s="65">
        <v>665.2</v>
      </c>
      <c r="F27" s="65">
        <v>1459.3</v>
      </c>
      <c r="G27" s="65">
        <v>112</v>
      </c>
      <c r="H27" s="66"/>
      <c r="I27" s="66"/>
      <c r="J27" s="90">
        <v>239</v>
      </c>
      <c r="K27" s="107">
        <f>1708.9+132.3</f>
        <v>1841.2</v>
      </c>
      <c r="L27" s="123">
        <f t="shared" si="6"/>
        <v>6184.2</v>
      </c>
      <c r="M27" s="42">
        <v>30.7</v>
      </c>
      <c r="N27" s="138">
        <f t="shared" si="7"/>
        <v>2236.5</v>
      </c>
      <c r="O27" s="125">
        <v>186</v>
      </c>
      <c r="P27" s="109">
        <f t="shared" si="8"/>
        <v>2422.5</v>
      </c>
      <c r="Q27" s="39">
        <f t="shared" si="4"/>
        <v>17.178000000000001</v>
      </c>
      <c r="R27" s="39">
        <f t="shared" si="5"/>
        <v>6.729166666666667</v>
      </c>
      <c r="S27" s="128">
        <f t="shared" si="9"/>
        <v>0.83449113432110755</v>
      </c>
      <c r="T27" s="92">
        <f t="shared" si="10"/>
        <v>6214.9</v>
      </c>
      <c r="U27" s="85"/>
      <c r="V27" s="80"/>
      <c r="W27" s="77"/>
      <c r="X27" s="80"/>
      <c r="Y27" s="80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  <c r="BW27" s="87"/>
    </row>
    <row r="28" spans="1:75" ht="18.75" hidden="1">
      <c r="A28" s="7" t="s">
        <v>74</v>
      </c>
      <c r="B28" s="89">
        <v>166</v>
      </c>
      <c r="C28" s="51">
        <v>741</v>
      </c>
      <c r="D28" s="51">
        <v>164.1</v>
      </c>
      <c r="E28" s="63">
        <v>397.1</v>
      </c>
      <c r="F28" s="63">
        <v>498.6</v>
      </c>
      <c r="G28" s="63">
        <v>50.5</v>
      </c>
      <c r="H28" s="64"/>
      <c r="I28" s="64"/>
      <c r="J28" s="108">
        <v>150</v>
      </c>
      <c r="K28" s="6">
        <f>663.5+51.4</f>
        <v>714.9</v>
      </c>
      <c r="L28" s="123">
        <f t="shared" si="6"/>
        <v>2716.2</v>
      </c>
      <c r="M28" s="42">
        <v>27.3</v>
      </c>
      <c r="N28" s="138">
        <f t="shared" si="7"/>
        <v>946.2</v>
      </c>
      <c r="O28" s="125">
        <v>84</v>
      </c>
      <c r="P28" s="109">
        <f t="shared" si="8"/>
        <v>1030.2</v>
      </c>
      <c r="Q28" s="39">
        <f t="shared" si="4"/>
        <v>16.363</v>
      </c>
      <c r="R28" s="39">
        <f t="shared" si="5"/>
        <v>6.2060240963855424</v>
      </c>
      <c r="S28" s="128">
        <f t="shared" si="9"/>
        <v>0.79489919844546997</v>
      </c>
      <c r="T28" s="92">
        <f t="shared" si="10"/>
        <v>2743.5</v>
      </c>
      <c r="U28" s="85"/>
      <c r="W28" s="77"/>
    </row>
    <row r="29" spans="1:75" s="107" customFormat="1" ht="18.75" hidden="1">
      <c r="A29" s="120">
        <v>85</v>
      </c>
      <c r="B29" s="106">
        <v>87</v>
      </c>
      <c r="C29" s="52">
        <v>741</v>
      </c>
      <c r="D29" s="52">
        <v>164.1</v>
      </c>
      <c r="E29" s="65">
        <v>275.10000000000002</v>
      </c>
      <c r="F29" s="65">
        <v>515.1</v>
      </c>
      <c r="G29" s="65">
        <v>41.5</v>
      </c>
      <c r="H29" s="66"/>
      <c r="I29" s="66"/>
      <c r="J29" s="96">
        <v>154</v>
      </c>
      <c r="K29" s="97">
        <f>667.2+51.6</f>
        <v>718.80000000000007</v>
      </c>
      <c r="L29" s="123">
        <f t="shared" si="6"/>
        <v>2609.6</v>
      </c>
      <c r="M29" s="42">
        <v>33.299999999999997</v>
      </c>
      <c r="N29" s="138">
        <f t="shared" si="7"/>
        <v>831.7</v>
      </c>
      <c r="O29" s="125">
        <v>95.2</v>
      </c>
      <c r="P29" s="109">
        <f t="shared" si="8"/>
        <v>926.90000000000009</v>
      </c>
      <c r="Q29" s="39">
        <f t="shared" si="4"/>
        <v>29.995000000000001</v>
      </c>
      <c r="R29" s="39">
        <f t="shared" si="5"/>
        <v>10.654022988505748</v>
      </c>
      <c r="S29" s="157">
        <f t="shared" si="9"/>
        <v>1.4571289774107359</v>
      </c>
      <c r="T29" s="92">
        <f t="shared" si="10"/>
        <v>2642.9</v>
      </c>
      <c r="U29" s="85"/>
      <c r="V29" s="80"/>
      <c r="W29" s="77"/>
      <c r="X29" s="80"/>
      <c r="Y29" s="80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</row>
    <row r="30" spans="1:75" s="107" customFormat="1" ht="18.75" hidden="1">
      <c r="A30" s="120">
        <v>104</v>
      </c>
      <c r="B30" s="106">
        <v>270</v>
      </c>
      <c r="C30" s="52">
        <v>1022.4</v>
      </c>
      <c r="D30" s="52">
        <v>226.4</v>
      </c>
      <c r="E30" s="65">
        <v>445.3</v>
      </c>
      <c r="F30" s="65">
        <f>904.3+116.1</f>
        <v>1020.4</v>
      </c>
      <c r="G30" s="65">
        <v>126.9</v>
      </c>
      <c r="H30" s="66"/>
      <c r="I30" s="66"/>
      <c r="J30" s="96">
        <v>177</v>
      </c>
      <c r="K30" s="97">
        <f>1243.5+96.3</f>
        <v>1339.8</v>
      </c>
      <c r="L30" s="123">
        <f t="shared" si="6"/>
        <v>4358.2</v>
      </c>
      <c r="M30" s="42">
        <v>56.7</v>
      </c>
      <c r="N30" s="138">
        <f t="shared" si="7"/>
        <v>1592.6000000000001</v>
      </c>
      <c r="O30" s="125">
        <v>122</v>
      </c>
      <c r="P30" s="109">
        <f t="shared" si="8"/>
        <v>1714.6000000000001</v>
      </c>
      <c r="Q30" s="39">
        <f t="shared" si="4"/>
        <v>16.140999999999998</v>
      </c>
      <c r="R30" s="39">
        <f t="shared" si="5"/>
        <v>6.3503703703703707</v>
      </c>
      <c r="S30" s="128">
        <f t="shared" si="9"/>
        <v>0.78411464658732077</v>
      </c>
      <c r="T30" s="92">
        <f t="shared" si="10"/>
        <v>4414.8999999999996</v>
      </c>
      <c r="U30" s="85"/>
      <c r="V30" s="80"/>
      <c r="W30" s="77"/>
      <c r="X30" s="80"/>
      <c r="Y30" s="80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</row>
    <row r="31" spans="1:75" s="107" customFormat="1" ht="18.75" hidden="1">
      <c r="A31" s="120">
        <v>106</v>
      </c>
      <c r="B31" s="106">
        <v>66</v>
      </c>
      <c r="C31" s="52">
        <v>694.1</v>
      </c>
      <c r="D31" s="52">
        <v>153.69999999999999</v>
      </c>
      <c r="E31" s="65">
        <v>219.4</v>
      </c>
      <c r="F31" s="65">
        <v>370.9</v>
      </c>
      <c r="G31" s="65">
        <v>38.1</v>
      </c>
      <c r="H31" s="66"/>
      <c r="I31" s="66"/>
      <c r="J31" s="96">
        <v>130</v>
      </c>
      <c r="K31" s="97">
        <f>354.5+27.5</f>
        <v>382</v>
      </c>
      <c r="L31" s="123">
        <f t="shared" si="6"/>
        <v>1988.2</v>
      </c>
      <c r="M31" s="42">
        <v>18.899999999999999</v>
      </c>
      <c r="N31" s="138">
        <f t="shared" si="7"/>
        <v>628.4</v>
      </c>
      <c r="O31" s="125">
        <v>107.8</v>
      </c>
      <c r="P31" s="109">
        <f t="shared" si="8"/>
        <v>736.19999999999993</v>
      </c>
      <c r="Q31" s="39">
        <f t="shared" si="4"/>
        <v>30.123999999999999</v>
      </c>
      <c r="R31" s="39">
        <f t="shared" si="5"/>
        <v>11.154545454545454</v>
      </c>
      <c r="S31" s="157">
        <f t="shared" si="9"/>
        <v>1.4633956764634442</v>
      </c>
      <c r="T31" s="92">
        <f t="shared" si="10"/>
        <v>2007.1000000000001</v>
      </c>
      <c r="U31" s="85"/>
      <c r="V31" s="80"/>
      <c r="W31" s="77"/>
      <c r="X31" s="80"/>
      <c r="Y31" s="80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</row>
    <row r="32" spans="1:75" ht="18.75" hidden="1">
      <c r="A32" s="7" t="s">
        <v>75</v>
      </c>
      <c r="B32" s="89">
        <v>308</v>
      </c>
      <c r="C32" s="51">
        <v>1482.1</v>
      </c>
      <c r="D32" s="51">
        <v>328.2</v>
      </c>
      <c r="E32" s="63">
        <v>537.1</v>
      </c>
      <c r="F32" s="63">
        <v>1313.8</v>
      </c>
      <c r="G32" s="63">
        <v>120.4</v>
      </c>
      <c r="H32" s="64"/>
      <c r="I32" s="64"/>
      <c r="J32" s="108">
        <v>217</v>
      </c>
      <c r="K32" s="6">
        <f>1368.9+106</f>
        <v>1474.9</v>
      </c>
      <c r="L32" s="123">
        <f t="shared" si="6"/>
        <v>5473.5</v>
      </c>
      <c r="M32" s="42">
        <v>68.5</v>
      </c>
      <c r="N32" s="138">
        <f t="shared" si="7"/>
        <v>1971.3000000000002</v>
      </c>
      <c r="O32" s="125">
        <v>153.4</v>
      </c>
      <c r="P32" s="109">
        <f t="shared" si="8"/>
        <v>2124.7000000000003</v>
      </c>
      <c r="Q32" s="39">
        <f t="shared" si="4"/>
        <v>17.771000000000001</v>
      </c>
      <c r="R32" s="39">
        <f t="shared" si="5"/>
        <v>6.8983766233766239</v>
      </c>
      <c r="S32" s="128">
        <f t="shared" si="9"/>
        <v>0.86329851833859605</v>
      </c>
      <c r="T32" s="92">
        <f t="shared" si="10"/>
        <v>5542</v>
      </c>
      <c r="U32" s="85"/>
      <c r="W32" s="77"/>
    </row>
    <row r="33" spans="1:75" ht="18.75" hidden="1">
      <c r="A33" s="7" t="s">
        <v>76</v>
      </c>
      <c r="B33" s="89">
        <v>176</v>
      </c>
      <c r="C33" s="51">
        <v>741</v>
      </c>
      <c r="D33" s="51">
        <v>164.1</v>
      </c>
      <c r="E33" s="63">
        <v>314.3</v>
      </c>
      <c r="F33" s="63">
        <v>665.7</v>
      </c>
      <c r="G33" s="63">
        <v>131.69999999999999</v>
      </c>
      <c r="H33" s="64"/>
      <c r="I33" s="64"/>
      <c r="J33" s="108">
        <v>154</v>
      </c>
      <c r="K33" s="6">
        <f>765.3+59.2</f>
        <v>824.5</v>
      </c>
      <c r="L33" s="123">
        <f t="shared" si="6"/>
        <v>2995.3</v>
      </c>
      <c r="M33" s="42">
        <v>23.5</v>
      </c>
      <c r="N33" s="138">
        <f t="shared" si="7"/>
        <v>1111.7</v>
      </c>
      <c r="O33" s="125">
        <v>101.7</v>
      </c>
      <c r="P33" s="109">
        <f t="shared" si="8"/>
        <v>1213.4000000000001</v>
      </c>
      <c r="Q33" s="39">
        <f t="shared" si="4"/>
        <v>17.018999999999998</v>
      </c>
      <c r="R33" s="39">
        <f t="shared" si="5"/>
        <v>6.894318181818182</v>
      </c>
      <c r="S33" s="128">
        <f t="shared" si="9"/>
        <v>0.82676706339567629</v>
      </c>
      <c r="T33" s="92">
        <f t="shared" si="10"/>
        <v>3018.8</v>
      </c>
      <c r="U33" s="85"/>
      <c r="W33" s="77"/>
    </row>
    <row r="34" spans="1:75" s="107" customFormat="1" ht="18.75" hidden="1">
      <c r="A34" s="120">
        <v>123</v>
      </c>
      <c r="B34" s="106">
        <v>181</v>
      </c>
      <c r="C34" s="52">
        <v>787.9</v>
      </c>
      <c r="D34" s="52">
        <v>174.5</v>
      </c>
      <c r="E34" s="65">
        <v>399.5</v>
      </c>
      <c r="F34" s="65">
        <v>600.1</v>
      </c>
      <c r="G34" s="65">
        <v>68.900000000000006</v>
      </c>
      <c r="H34" s="66"/>
      <c r="I34" s="66"/>
      <c r="J34" s="96">
        <v>154</v>
      </c>
      <c r="K34" s="97">
        <f>736.3+57</f>
        <v>793.3</v>
      </c>
      <c r="L34" s="123">
        <f t="shared" si="6"/>
        <v>2978.2</v>
      </c>
      <c r="M34" s="42">
        <v>24.8</v>
      </c>
      <c r="N34" s="138">
        <f t="shared" si="7"/>
        <v>1068.5</v>
      </c>
      <c r="O34" s="125">
        <v>134.5</v>
      </c>
      <c r="P34" s="109">
        <f t="shared" si="8"/>
        <v>1203</v>
      </c>
      <c r="Q34" s="39">
        <f t="shared" si="4"/>
        <v>16.454000000000001</v>
      </c>
      <c r="R34" s="39">
        <f t="shared" si="5"/>
        <v>6.6464088397790055</v>
      </c>
      <c r="S34" s="128">
        <f t="shared" si="9"/>
        <v>0.79931989312606266</v>
      </c>
      <c r="T34" s="92">
        <f t="shared" si="10"/>
        <v>3003</v>
      </c>
      <c r="U34" s="85"/>
      <c r="V34" s="80"/>
      <c r="W34" s="77"/>
      <c r="X34" s="80"/>
      <c r="Y34" s="80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  <c r="BW34" s="87"/>
    </row>
    <row r="35" spans="1:75" ht="18.75" hidden="1">
      <c r="A35" s="7" t="s">
        <v>77</v>
      </c>
      <c r="B35" s="89">
        <v>215</v>
      </c>
      <c r="C35" s="51">
        <v>787.9</v>
      </c>
      <c r="D35" s="51">
        <v>174.5</v>
      </c>
      <c r="E35" s="63">
        <v>311.10000000000002</v>
      </c>
      <c r="F35" s="63">
        <v>790.8</v>
      </c>
      <c r="G35" s="63">
        <v>49.1</v>
      </c>
      <c r="H35" s="64"/>
      <c r="I35" s="64"/>
      <c r="J35" s="108">
        <v>154</v>
      </c>
      <c r="K35" s="6">
        <f>885.3+68.5</f>
        <v>953.8</v>
      </c>
      <c r="L35" s="123">
        <f t="shared" si="6"/>
        <v>3221.2</v>
      </c>
      <c r="M35" s="42">
        <v>34.9</v>
      </c>
      <c r="N35" s="138">
        <f t="shared" si="7"/>
        <v>1151</v>
      </c>
      <c r="O35" s="125">
        <v>122.9</v>
      </c>
      <c r="P35" s="109">
        <f t="shared" si="8"/>
        <v>1273.9000000000001</v>
      </c>
      <c r="Q35" s="39">
        <f t="shared" si="4"/>
        <v>14.981999999999999</v>
      </c>
      <c r="R35" s="39">
        <f t="shared" si="5"/>
        <v>5.9251162790697682</v>
      </c>
      <c r="S35" s="128">
        <f t="shared" si="9"/>
        <v>0.72781151323779447</v>
      </c>
      <c r="T35" s="92">
        <f t="shared" si="10"/>
        <v>3256.1</v>
      </c>
      <c r="U35" s="85"/>
      <c r="W35" s="77"/>
    </row>
    <row r="36" spans="1:75" ht="18.75" hidden="1">
      <c r="A36" s="7" t="s">
        <v>78</v>
      </c>
      <c r="B36" s="89">
        <v>177</v>
      </c>
      <c r="C36" s="51">
        <v>787.9</v>
      </c>
      <c r="D36" s="51">
        <v>174.5</v>
      </c>
      <c r="E36" s="63">
        <v>360.2</v>
      </c>
      <c r="F36" s="63">
        <v>657.9</v>
      </c>
      <c r="G36" s="63">
        <v>97.2</v>
      </c>
      <c r="H36" s="64"/>
      <c r="I36" s="64"/>
      <c r="J36" s="108">
        <v>154</v>
      </c>
      <c r="K36" s="6">
        <f>703.5+54.5</f>
        <v>758</v>
      </c>
      <c r="L36" s="123">
        <f t="shared" si="6"/>
        <v>2989.7</v>
      </c>
      <c r="M36" s="42">
        <v>30.7</v>
      </c>
      <c r="N36" s="138">
        <f t="shared" si="7"/>
        <v>1115.3</v>
      </c>
      <c r="O36" s="125">
        <v>99.1</v>
      </c>
      <c r="P36" s="109">
        <f t="shared" si="8"/>
        <v>1214.3999999999999</v>
      </c>
      <c r="Q36" s="39">
        <f t="shared" si="4"/>
        <v>16.890999999999998</v>
      </c>
      <c r="R36" s="39">
        <f t="shared" si="5"/>
        <v>6.8610169491525417</v>
      </c>
      <c r="S36" s="128">
        <f t="shared" si="9"/>
        <v>0.82054894340539219</v>
      </c>
      <c r="T36" s="92">
        <f t="shared" si="10"/>
        <v>3020.3999999999996</v>
      </c>
      <c r="U36" s="85"/>
      <c r="W36" s="77"/>
    </row>
    <row r="37" spans="1:75" ht="18.75" hidden="1">
      <c r="A37" s="7" t="s">
        <v>79</v>
      </c>
      <c r="B37" s="89">
        <v>179</v>
      </c>
      <c r="C37" s="51">
        <v>741</v>
      </c>
      <c r="D37" s="51">
        <v>164.1</v>
      </c>
      <c r="E37" s="63">
        <v>394.6</v>
      </c>
      <c r="F37" s="63">
        <v>650.9</v>
      </c>
      <c r="G37" s="63">
        <v>80.099999999999994</v>
      </c>
      <c r="H37" s="64"/>
      <c r="I37" s="64"/>
      <c r="J37" s="108">
        <v>154</v>
      </c>
      <c r="K37" s="6">
        <f>839.9+65</f>
        <v>904.9</v>
      </c>
      <c r="L37" s="123">
        <f t="shared" si="6"/>
        <v>3089.6</v>
      </c>
      <c r="M37" s="42">
        <v>69</v>
      </c>
      <c r="N37" s="138">
        <f t="shared" si="7"/>
        <v>1125.5999999999999</v>
      </c>
      <c r="O37" s="125">
        <v>126.2</v>
      </c>
      <c r="P37" s="109">
        <f t="shared" si="8"/>
        <v>1251.8</v>
      </c>
      <c r="Q37" s="39">
        <f t="shared" si="4"/>
        <v>17.260000000000002</v>
      </c>
      <c r="R37" s="39">
        <f t="shared" si="5"/>
        <v>6.993296089385475</v>
      </c>
      <c r="S37" s="128">
        <f t="shared" si="9"/>
        <v>0.8384746174398835</v>
      </c>
      <c r="T37" s="92">
        <f t="shared" si="10"/>
        <v>3158.6</v>
      </c>
      <c r="U37" s="85"/>
      <c r="W37" s="77"/>
    </row>
    <row r="38" spans="1:75" s="107" customFormat="1" ht="18.75" hidden="1">
      <c r="A38" s="120">
        <v>139</v>
      </c>
      <c r="B38" s="106">
        <v>92</v>
      </c>
      <c r="C38" s="52">
        <v>741</v>
      </c>
      <c r="D38" s="52">
        <v>164.1</v>
      </c>
      <c r="E38" s="65">
        <v>340.6</v>
      </c>
      <c r="F38" s="65">
        <v>519.70000000000005</v>
      </c>
      <c r="G38" s="65">
        <v>48</v>
      </c>
      <c r="H38" s="66"/>
      <c r="I38" s="66"/>
      <c r="J38" s="96">
        <v>154</v>
      </c>
      <c r="K38" s="97">
        <f>527.2+40.8</f>
        <v>568</v>
      </c>
      <c r="L38" s="123">
        <f t="shared" si="6"/>
        <v>2535.4</v>
      </c>
      <c r="M38" s="42">
        <v>31.3</v>
      </c>
      <c r="N38" s="138">
        <f t="shared" si="7"/>
        <v>908.30000000000007</v>
      </c>
      <c r="O38" s="125">
        <v>110.7</v>
      </c>
      <c r="P38" s="109">
        <f t="shared" si="8"/>
        <v>1019.0000000000001</v>
      </c>
      <c r="Q38" s="39">
        <f t="shared" si="4"/>
        <v>27.559000000000001</v>
      </c>
      <c r="R38" s="39">
        <f t="shared" si="5"/>
        <v>11.07608695652174</v>
      </c>
      <c r="S38" s="157">
        <f t="shared" si="9"/>
        <v>1.3387903813456401</v>
      </c>
      <c r="T38" s="92">
        <f t="shared" si="10"/>
        <v>2566.7000000000003</v>
      </c>
      <c r="U38" s="85"/>
      <c r="V38" s="80"/>
      <c r="W38" s="77"/>
      <c r="X38" s="80"/>
      <c r="Y38" s="80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</row>
    <row r="39" spans="1:75" ht="18.75" hidden="1">
      <c r="A39" s="7" t="s">
        <v>80</v>
      </c>
      <c r="B39" s="89">
        <v>212</v>
      </c>
      <c r="C39" s="51">
        <v>881.7</v>
      </c>
      <c r="D39" s="51">
        <v>195.2</v>
      </c>
      <c r="E39" s="63">
        <v>585.70000000000005</v>
      </c>
      <c r="F39" s="63">
        <v>829.3</v>
      </c>
      <c r="G39" s="63">
        <v>93.6</v>
      </c>
      <c r="H39" s="64"/>
      <c r="I39" s="64"/>
      <c r="J39" s="108">
        <v>154</v>
      </c>
      <c r="K39" s="6">
        <f>816.2+63.2</f>
        <v>879.40000000000009</v>
      </c>
      <c r="L39" s="123">
        <f t="shared" si="6"/>
        <v>3618.9</v>
      </c>
      <c r="M39" s="42">
        <v>32.799999999999997</v>
      </c>
      <c r="N39" s="138">
        <f t="shared" si="7"/>
        <v>1508.6</v>
      </c>
      <c r="O39" s="125">
        <v>127.5</v>
      </c>
      <c r="P39" s="109">
        <f t="shared" si="8"/>
        <v>1636.1</v>
      </c>
      <c r="Q39" s="39">
        <f t="shared" si="4"/>
        <v>17.07</v>
      </c>
      <c r="R39" s="39">
        <f t="shared" si="5"/>
        <v>7.7174528301886784</v>
      </c>
      <c r="S39" s="128">
        <f t="shared" si="9"/>
        <v>0.8292445955793053</v>
      </c>
      <c r="T39" s="92">
        <f t="shared" si="10"/>
        <v>3651.7000000000003</v>
      </c>
      <c r="U39" s="85"/>
      <c r="W39" s="77"/>
    </row>
    <row r="40" spans="1:75" ht="18.75" hidden="1">
      <c r="A40" s="7" t="s">
        <v>81</v>
      </c>
      <c r="B40" s="89">
        <v>179</v>
      </c>
      <c r="C40" s="51">
        <v>741</v>
      </c>
      <c r="D40" s="51">
        <v>164.1</v>
      </c>
      <c r="E40" s="63">
        <v>340.6</v>
      </c>
      <c r="F40" s="63">
        <v>741.9</v>
      </c>
      <c r="G40" s="63">
        <v>83.4</v>
      </c>
      <c r="H40" s="64"/>
      <c r="I40" s="64"/>
      <c r="J40" s="108">
        <v>154</v>
      </c>
      <c r="K40" s="6">
        <f>874.4+67.8</f>
        <v>942.19999999999993</v>
      </c>
      <c r="L40" s="123">
        <f t="shared" si="6"/>
        <v>3167.2</v>
      </c>
      <c r="M40" s="42">
        <v>40</v>
      </c>
      <c r="N40" s="138">
        <f t="shared" si="7"/>
        <v>1165.9000000000001</v>
      </c>
      <c r="O40" s="125">
        <v>107.1</v>
      </c>
      <c r="P40" s="109">
        <f t="shared" si="8"/>
        <v>1273</v>
      </c>
      <c r="Q40" s="39">
        <f t="shared" si="4"/>
        <v>17.693999999999999</v>
      </c>
      <c r="R40" s="39">
        <f t="shared" si="5"/>
        <v>7.1117318435754191</v>
      </c>
      <c r="S40" s="128">
        <f t="shared" si="9"/>
        <v>0.85955793053194063</v>
      </c>
      <c r="T40" s="92">
        <f t="shared" si="10"/>
        <v>3207.2</v>
      </c>
      <c r="U40" s="85"/>
      <c r="W40" s="77"/>
    </row>
    <row r="41" spans="1:75" ht="18.75" hidden="1">
      <c r="A41" s="7" t="s">
        <v>82</v>
      </c>
      <c r="B41" s="89">
        <v>195</v>
      </c>
      <c r="C41" s="51">
        <v>787.9</v>
      </c>
      <c r="D41" s="51">
        <v>174.5</v>
      </c>
      <c r="E41" s="63">
        <v>281.60000000000002</v>
      </c>
      <c r="F41" s="63">
        <v>627.5</v>
      </c>
      <c r="G41" s="63">
        <v>80.400000000000006</v>
      </c>
      <c r="H41" s="64"/>
      <c r="I41" s="64"/>
      <c r="J41" s="108">
        <v>154</v>
      </c>
      <c r="K41" s="6">
        <f>834.4+64.7</f>
        <v>899.1</v>
      </c>
      <c r="L41" s="123">
        <f t="shared" si="6"/>
        <v>3005</v>
      </c>
      <c r="M41" s="42">
        <v>37.799999999999997</v>
      </c>
      <c r="N41" s="138">
        <f t="shared" si="7"/>
        <v>989.5</v>
      </c>
      <c r="O41" s="125">
        <v>118.5</v>
      </c>
      <c r="P41" s="109">
        <f t="shared" si="8"/>
        <v>1108</v>
      </c>
      <c r="Q41" s="39">
        <f t="shared" si="4"/>
        <v>15.41</v>
      </c>
      <c r="R41" s="39">
        <f t="shared" si="5"/>
        <v>5.6820512820512823</v>
      </c>
      <c r="S41" s="128">
        <f t="shared" si="9"/>
        <v>0.74860335195530725</v>
      </c>
      <c r="T41" s="92">
        <f t="shared" si="10"/>
        <v>3042.8</v>
      </c>
      <c r="U41" s="85"/>
      <c r="W41" s="77"/>
    </row>
    <row r="42" spans="1:75" s="107" customFormat="1" ht="18.75" hidden="1">
      <c r="A42" s="120">
        <v>153</v>
      </c>
      <c r="B42" s="106">
        <v>177</v>
      </c>
      <c r="C42" s="52">
        <v>834.8</v>
      </c>
      <c r="D42" s="52">
        <v>184.8</v>
      </c>
      <c r="E42" s="65">
        <v>358.4</v>
      </c>
      <c r="F42" s="65">
        <v>581.6</v>
      </c>
      <c r="G42" s="65">
        <v>89</v>
      </c>
      <c r="H42" s="66"/>
      <c r="I42" s="66"/>
      <c r="J42" s="96">
        <v>154</v>
      </c>
      <c r="K42" s="97">
        <f>827.1+64</f>
        <v>891.1</v>
      </c>
      <c r="L42" s="123">
        <f t="shared" si="6"/>
        <v>3093.7</v>
      </c>
      <c r="M42" s="42">
        <v>38.200000000000003</v>
      </c>
      <c r="N42" s="138">
        <f t="shared" si="7"/>
        <v>1029</v>
      </c>
      <c r="O42" s="125">
        <v>93</v>
      </c>
      <c r="P42" s="109">
        <f t="shared" si="8"/>
        <v>1122</v>
      </c>
      <c r="Q42" s="39">
        <f t="shared" si="4"/>
        <v>17.478999999999999</v>
      </c>
      <c r="R42" s="39">
        <f t="shared" si="5"/>
        <v>6.3389830508474576</v>
      </c>
      <c r="S42" s="128">
        <f t="shared" si="9"/>
        <v>0.84911343211076018</v>
      </c>
      <c r="T42" s="92">
        <f t="shared" si="10"/>
        <v>3131.8999999999996</v>
      </c>
      <c r="U42" s="85"/>
      <c r="V42" s="80"/>
      <c r="W42" s="77"/>
      <c r="X42" s="80"/>
      <c r="Y42" s="80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</row>
    <row r="43" spans="1:75" ht="18.75" hidden="1">
      <c r="A43" s="7" t="s">
        <v>83</v>
      </c>
      <c r="B43" s="89">
        <v>195</v>
      </c>
      <c r="C43" s="51">
        <v>811.4</v>
      </c>
      <c r="D43" s="51">
        <v>179.7</v>
      </c>
      <c r="E43" s="63">
        <v>375</v>
      </c>
      <c r="F43" s="63">
        <v>598.4</v>
      </c>
      <c r="G43" s="63">
        <v>71.8</v>
      </c>
      <c r="H43" s="64"/>
      <c r="I43" s="64"/>
      <c r="J43" s="108">
        <v>154</v>
      </c>
      <c r="K43" s="6">
        <f>776.3+60.1</f>
        <v>836.4</v>
      </c>
      <c r="L43" s="123">
        <f t="shared" si="6"/>
        <v>3026.7</v>
      </c>
      <c r="M43" s="42">
        <v>38.4</v>
      </c>
      <c r="N43" s="138">
        <f t="shared" si="7"/>
        <v>1045.2</v>
      </c>
      <c r="O43" s="125">
        <v>129.69999999999999</v>
      </c>
      <c r="P43" s="109">
        <f t="shared" si="8"/>
        <v>1174.9000000000001</v>
      </c>
      <c r="Q43" s="39">
        <f t="shared" si="4"/>
        <v>15.522</v>
      </c>
      <c r="R43" s="39">
        <f t="shared" si="5"/>
        <v>6.0251282051282056</v>
      </c>
      <c r="S43" s="128">
        <f t="shared" si="9"/>
        <v>0.75404420694680596</v>
      </c>
      <c r="T43" s="92">
        <f t="shared" si="10"/>
        <v>3065.1</v>
      </c>
      <c r="U43" s="85"/>
      <c r="W43" s="77"/>
    </row>
    <row r="44" spans="1:75" ht="18.75" hidden="1">
      <c r="A44" s="7" t="s">
        <v>84</v>
      </c>
      <c r="B44" s="89">
        <v>179</v>
      </c>
      <c r="C44" s="51">
        <v>741</v>
      </c>
      <c r="D44" s="51">
        <v>164.1</v>
      </c>
      <c r="E44" s="63">
        <v>360.2</v>
      </c>
      <c r="F44" s="63">
        <f>716.3+94.8</f>
        <v>811.09999999999991</v>
      </c>
      <c r="G44" s="63">
        <v>90</v>
      </c>
      <c r="H44" s="64"/>
      <c r="I44" s="64"/>
      <c r="J44" s="108">
        <v>154</v>
      </c>
      <c r="K44" s="6">
        <f>836.3+64.7</f>
        <v>901</v>
      </c>
      <c r="L44" s="123">
        <f t="shared" si="6"/>
        <v>3221.4</v>
      </c>
      <c r="M44" s="42">
        <v>41.6</v>
      </c>
      <c r="N44" s="138">
        <f t="shared" si="7"/>
        <v>1261.3</v>
      </c>
      <c r="O44" s="125">
        <v>113.7</v>
      </c>
      <c r="P44" s="109">
        <f t="shared" si="8"/>
        <v>1375</v>
      </c>
      <c r="Q44" s="39">
        <f t="shared" si="4"/>
        <v>17.997</v>
      </c>
      <c r="R44" s="39">
        <f t="shared" si="5"/>
        <v>7.6815642458100557</v>
      </c>
      <c r="S44" s="128">
        <f t="shared" si="9"/>
        <v>0.8742773864464416</v>
      </c>
      <c r="T44" s="92">
        <f t="shared" si="10"/>
        <v>3263</v>
      </c>
      <c r="U44" s="85"/>
      <c r="W44" s="77"/>
    </row>
    <row r="45" spans="1:75" s="107" customFormat="1" ht="18.75" hidden="1">
      <c r="A45" s="120">
        <v>167</v>
      </c>
      <c r="B45" s="106">
        <v>179</v>
      </c>
      <c r="C45" s="52">
        <v>811.4</v>
      </c>
      <c r="D45" s="52">
        <v>179.7</v>
      </c>
      <c r="E45" s="65">
        <v>385.4</v>
      </c>
      <c r="F45" s="65">
        <f>641+82.7</f>
        <v>723.7</v>
      </c>
      <c r="G45" s="65">
        <v>79.7</v>
      </c>
      <c r="H45" s="66"/>
      <c r="I45" s="66"/>
      <c r="J45" s="96">
        <v>154</v>
      </c>
      <c r="K45" s="97">
        <f>732.6+56.7</f>
        <v>789.30000000000007</v>
      </c>
      <c r="L45" s="123">
        <f t="shared" si="6"/>
        <v>3123.2</v>
      </c>
      <c r="M45" s="42">
        <v>35.9</v>
      </c>
      <c r="N45" s="138">
        <f t="shared" si="7"/>
        <v>1188.8</v>
      </c>
      <c r="O45" s="125">
        <v>127.4</v>
      </c>
      <c r="P45" s="109">
        <f t="shared" si="8"/>
        <v>1316.2</v>
      </c>
      <c r="Q45" s="39">
        <f t="shared" si="4"/>
        <v>17.448</v>
      </c>
      <c r="R45" s="39">
        <f t="shared" si="5"/>
        <v>7.3530726256983243</v>
      </c>
      <c r="S45" s="128">
        <f t="shared" si="9"/>
        <v>0.84760748117561324</v>
      </c>
      <c r="T45" s="92">
        <f t="shared" si="10"/>
        <v>3159.1</v>
      </c>
      <c r="U45" s="85"/>
      <c r="V45" s="80"/>
      <c r="W45" s="77"/>
      <c r="X45" s="80"/>
      <c r="Y45" s="80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</row>
    <row r="46" spans="1:75" ht="18.75" hidden="1">
      <c r="A46" s="7" t="s">
        <v>85</v>
      </c>
      <c r="B46" s="89">
        <v>230</v>
      </c>
      <c r="C46" s="51">
        <v>811.4</v>
      </c>
      <c r="D46" s="51">
        <v>179.7</v>
      </c>
      <c r="E46" s="63">
        <v>353.6</v>
      </c>
      <c r="F46" s="63">
        <f>593.2+71.5</f>
        <v>664.7</v>
      </c>
      <c r="G46" s="63">
        <v>130.69999999999999</v>
      </c>
      <c r="H46" s="64"/>
      <c r="I46" s="64"/>
      <c r="J46" s="108">
        <v>154</v>
      </c>
      <c r="K46" s="6">
        <f>1034.4+80.1</f>
        <v>1114.5</v>
      </c>
      <c r="L46" s="123">
        <f t="shared" si="6"/>
        <v>3408.6</v>
      </c>
      <c r="M46" s="42">
        <v>92.5</v>
      </c>
      <c r="N46" s="138">
        <f t="shared" si="7"/>
        <v>1149</v>
      </c>
      <c r="O46" s="125">
        <v>125.5</v>
      </c>
      <c r="P46" s="109">
        <f t="shared" si="8"/>
        <v>1274.5</v>
      </c>
      <c r="Q46" s="39">
        <f t="shared" si="4"/>
        <v>14.82</v>
      </c>
      <c r="R46" s="39">
        <f t="shared" si="5"/>
        <v>5.5413043478260873</v>
      </c>
      <c r="S46" s="128">
        <f t="shared" si="9"/>
        <v>0.71994170512509104</v>
      </c>
      <c r="T46" s="92">
        <f t="shared" si="10"/>
        <v>3501.1</v>
      </c>
      <c r="U46" s="85"/>
      <c r="W46" s="77"/>
    </row>
    <row r="47" spans="1:75" ht="18.75" hidden="1">
      <c r="A47" s="7" t="s">
        <v>86</v>
      </c>
      <c r="B47" s="89">
        <v>211</v>
      </c>
      <c r="C47" s="51">
        <v>881.7</v>
      </c>
      <c r="D47" s="51">
        <v>195.2</v>
      </c>
      <c r="E47" s="63">
        <v>412.6</v>
      </c>
      <c r="F47" s="63">
        <f>632+79.8</f>
        <v>711.8</v>
      </c>
      <c r="G47" s="63">
        <v>90.1</v>
      </c>
      <c r="H47" s="64"/>
      <c r="I47" s="64"/>
      <c r="J47" s="108">
        <v>154</v>
      </c>
      <c r="K47" s="6">
        <f>988.9+76.6</f>
        <v>1065.5</v>
      </c>
      <c r="L47" s="123">
        <f t="shared" si="6"/>
        <v>3510.9</v>
      </c>
      <c r="M47" s="42">
        <v>39.1</v>
      </c>
      <c r="N47" s="138">
        <f t="shared" si="7"/>
        <v>1214.5</v>
      </c>
      <c r="O47" s="125">
        <v>115.5</v>
      </c>
      <c r="P47" s="109">
        <f t="shared" si="8"/>
        <v>1330</v>
      </c>
      <c r="Q47" s="39">
        <f t="shared" si="4"/>
        <v>16.638999999999999</v>
      </c>
      <c r="R47" s="39">
        <f t="shared" si="5"/>
        <v>6.3033175355450233</v>
      </c>
      <c r="S47" s="128">
        <f t="shared" si="9"/>
        <v>0.80830701967452023</v>
      </c>
      <c r="T47" s="92">
        <f t="shared" si="10"/>
        <v>3550</v>
      </c>
      <c r="U47" s="85"/>
      <c r="W47" s="77"/>
    </row>
    <row r="48" spans="1:75" ht="18.75" hidden="1">
      <c r="A48" s="7" t="s">
        <v>87</v>
      </c>
      <c r="B48" s="89">
        <v>169</v>
      </c>
      <c r="C48" s="51">
        <v>741</v>
      </c>
      <c r="D48" s="51">
        <v>164.1</v>
      </c>
      <c r="E48" s="63">
        <v>360.2</v>
      </c>
      <c r="F48" s="63">
        <f>641.8+82.8</f>
        <v>724.59999999999991</v>
      </c>
      <c r="G48" s="63">
        <v>146.9</v>
      </c>
      <c r="H48" s="64"/>
      <c r="I48" s="64"/>
      <c r="J48" s="108">
        <v>154</v>
      </c>
      <c r="K48" s="6">
        <f>690.9+53.5</f>
        <v>744.4</v>
      </c>
      <c r="L48" s="123">
        <f t="shared" si="6"/>
        <v>3035.2</v>
      </c>
      <c r="M48" s="42">
        <v>0</v>
      </c>
      <c r="N48" s="138">
        <f t="shared" si="7"/>
        <v>1231.7</v>
      </c>
      <c r="O48" s="125">
        <v>108.4</v>
      </c>
      <c r="P48" s="109">
        <f t="shared" si="8"/>
        <v>1340.1000000000001</v>
      </c>
      <c r="Q48" s="39">
        <f t="shared" si="4"/>
        <v>17.96</v>
      </c>
      <c r="R48" s="39">
        <f t="shared" si="5"/>
        <v>7.9295857988165688</v>
      </c>
      <c r="S48" s="128">
        <f t="shared" si="9"/>
        <v>0.87247996113675008</v>
      </c>
      <c r="T48" s="92">
        <f t="shared" si="10"/>
        <v>3035.2</v>
      </c>
      <c r="U48" s="85"/>
      <c r="W48" s="77"/>
    </row>
    <row r="49" spans="1:75" ht="18.75" hidden="1">
      <c r="A49" s="7" t="s">
        <v>88</v>
      </c>
      <c r="B49" s="89">
        <v>198</v>
      </c>
      <c r="C49" s="51">
        <v>811.4</v>
      </c>
      <c r="D49" s="51">
        <v>179.7</v>
      </c>
      <c r="E49" s="63">
        <v>386.4</v>
      </c>
      <c r="F49" s="63">
        <f>709.2+92.8</f>
        <v>802</v>
      </c>
      <c r="G49" s="63">
        <v>110.8</v>
      </c>
      <c r="H49" s="64"/>
      <c r="I49" s="64"/>
      <c r="J49" s="108">
        <v>154</v>
      </c>
      <c r="K49" s="6">
        <f>887.1+68.7</f>
        <v>955.80000000000007</v>
      </c>
      <c r="L49" s="123">
        <f t="shared" si="6"/>
        <v>3400.1</v>
      </c>
      <c r="M49" s="42">
        <v>39.4</v>
      </c>
      <c r="N49" s="138">
        <f t="shared" si="7"/>
        <v>1299.2</v>
      </c>
      <c r="O49" s="125">
        <v>111.6</v>
      </c>
      <c r="P49" s="109">
        <f t="shared" si="8"/>
        <v>1410.8</v>
      </c>
      <c r="Q49" s="39">
        <f t="shared" si="4"/>
        <v>17.172000000000001</v>
      </c>
      <c r="R49" s="39">
        <f t="shared" si="5"/>
        <v>7.1252525252525247</v>
      </c>
      <c r="S49" s="128">
        <f t="shared" si="9"/>
        <v>0.83419965994656298</v>
      </c>
      <c r="T49" s="92">
        <f t="shared" si="10"/>
        <v>3439.5</v>
      </c>
      <c r="U49" s="85"/>
      <c r="W49" s="77"/>
    </row>
    <row r="50" spans="1:75" s="107" customFormat="1" ht="18.75" hidden="1">
      <c r="A50" s="120">
        <v>185</v>
      </c>
      <c r="B50" s="106">
        <v>156</v>
      </c>
      <c r="C50" s="52">
        <v>741</v>
      </c>
      <c r="D50" s="52">
        <v>164.1</v>
      </c>
      <c r="E50" s="65">
        <v>243.6</v>
      </c>
      <c r="F50" s="65">
        <v>668.4</v>
      </c>
      <c r="G50" s="65">
        <v>75.3</v>
      </c>
      <c r="H50" s="66"/>
      <c r="I50" s="66"/>
      <c r="J50" s="96">
        <v>154</v>
      </c>
      <c r="K50" s="97">
        <f>2370.6+183.5</f>
        <v>2554.1</v>
      </c>
      <c r="L50" s="123">
        <f t="shared" si="6"/>
        <v>4600.5</v>
      </c>
      <c r="M50" s="42">
        <v>33.9</v>
      </c>
      <c r="N50" s="138">
        <f t="shared" si="7"/>
        <v>987.3</v>
      </c>
      <c r="O50" s="125">
        <v>121.5</v>
      </c>
      <c r="P50" s="109">
        <f t="shared" si="8"/>
        <v>1108.8</v>
      </c>
      <c r="Q50" s="39">
        <f t="shared" si="4"/>
        <v>29.49</v>
      </c>
      <c r="R50" s="39">
        <f t="shared" si="5"/>
        <v>7.1076923076923073</v>
      </c>
      <c r="S50" s="157">
        <f t="shared" si="9"/>
        <v>1.4325965508865677</v>
      </c>
      <c r="T50" s="92">
        <f t="shared" si="10"/>
        <v>4634.3999999999996</v>
      </c>
      <c r="U50" s="85"/>
      <c r="V50" s="80"/>
      <c r="W50" s="77"/>
      <c r="X50" s="80"/>
      <c r="Y50" s="80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</row>
    <row r="51" spans="1:75" s="107" customFormat="1" ht="120">
      <c r="A51" s="8" t="s">
        <v>11</v>
      </c>
      <c r="B51" s="81" t="s">
        <v>260</v>
      </c>
      <c r="C51" s="71">
        <v>211</v>
      </c>
      <c r="D51" s="71">
        <v>213</v>
      </c>
      <c r="E51" s="153" t="s">
        <v>13</v>
      </c>
      <c r="F51" s="153" t="s">
        <v>267</v>
      </c>
      <c r="G51" s="153" t="s">
        <v>12</v>
      </c>
      <c r="H51" s="153" t="s">
        <v>14</v>
      </c>
      <c r="I51" s="153" t="s">
        <v>269</v>
      </c>
      <c r="J51" s="71" t="s">
        <v>15</v>
      </c>
      <c r="K51" s="73" t="s">
        <v>261</v>
      </c>
      <c r="L51" s="82" t="s">
        <v>296</v>
      </c>
      <c r="M51" s="139" t="s">
        <v>310</v>
      </c>
      <c r="N51" s="135" t="s">
        <v>297</v>
      </c>
      <c r="O51" s="136" t="s">
        <v>298</v>
      </c>
      <c r="P51" s="137" t="s">
        <v>312</v>
      </c>
      <c r="Q51" s="148" t="s">
        <v>307</v>
      </c>
      <c r="R51" s="149" t="s">
        <v>309</v>
      </c>
      <c r="S51" s="8" t="s">
        <v>313</v>
      </c>
      <c r="T51" s="43" t="s">
        <v>293</v>
      </c>
      <c r="U51" s="85"/>
      <c r="V51" s="80"/>
      <c r="W51" s="77"/>
      <c r="X51" s="80"/>
      <c r="Y51" s="80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</row>
    <row r="52" spans="1:75" ht="18.75">
      <c r="A52" s="7" t="s">
        <v>89</v>
      </c>
      <c r="B52" s="89">
        <v>196</v>
      </c>
      <c r="C52" s="51">
        <v>952.1</v>
      </c>
      <c r="D52" s="51">
        <v>210.8</v>
      </c>
      <c r="E52" s="63">
        <v>587</v>
      </c>
      <c r="F52" s="63">
        <v>1037.3</v>
      </c>
      <c r="G52" s="63">
        <v>111.6</v>
      </c>
      <c r="H52" s="64"/>
      <c r="I52" s="64"/>
      <c r="J52" s="108">
        <v>229</v>
      </c>
      <c r="K52" s="6">
        <f>919.9+71.3</f>
        <v>991.19999999999993</v>
      </c>
      <c r="L52" s="123">
        <f t="shared" si="6"/>
        <v>4119</v>
      </c>
      <c r="M52" s="42">
        <v>26.4</v>
      </c>
      <c r="N52" s="138">
        <f t="shared" si="7"/>
        <v>1735.8999999999999</v>
      </c>
      <c r="O52" s="125">
        <v>94</v>
      </c>
      <c r="P52" s="109">
        <f t="shared" si="8"/>
        <v>1829.8999999999999</v>
      </c>
      <c r="Q52" s="39">
        <f>ROUND(L52/B52,3)</f>
        <v>21.015000000000001</v>
      </c>
      <c r="R52" s="39">
        <f t="shared" si="5"/>
        <v>9.3362244897959172</v>
      </c>
      <c r="S52" s="157">
        <f>Q52/20.585</f>
        <v>1.0208889968423609</v>
      </c>
      <c r="T52" s="154">
        <f t="shared" si="10"/>
        <v>4145.3999999999996</v>
      </c>
      <c r="U52" s="85"/>
      <c r="W52" s="77"/>
    </row>
    <row r="53" spans="1:75" s="107" customFormat="1" ht="18.75" hidden="1">
      <c r="A53" s="120">
        <v>214</v>
      </c>
      <c r="B53" s="106">
        <v>359</v>
      </c>
      <c r="C53" s="52">
        <v>1116.2</v>
      </c>
      <c r="D53" s="52">
        <v>247.1</v>
      </c>
      <c r="E53" s="65">
        <v>499.3</v>
      </c>
      <c r="F53" s="65">
        <f>1280.8+166.5</f>
        <v>1447.3</v>
      </c>
      <c r="G53" s="65">
        <v>148.5</v>
      </c>
      <c r="H53" s="66"/>
      <c r="I53" s="66"/>
      <c r="J53" s="96">
        <v>199</v>
      </c>
      <c r="K53" s="97">
        <f>1734.3+134.2</f>
        <v>1868.5</v>
      </c>
      <c r="L53" s="123">
        <f t="shared" si="6"/>
        <v>5525.9</v>
      </c>
      <c r="M53" s="42">
        <v>65.7</v>
      </c>
      <c r="N53" s="138">
        <f t="shared" si="7"/>
        <v>2095.1</v>
      </c>
      <c r="O53" s="125">
        <v>150.69999999999999</v>
      </c>
      <c r="P53" s="109">
        <f t="shared" si="8"/>
        <v>2245.7999999999997</v>
      </c>
      <c r="Q53" s="39">
        <f t="shared" si="4"/>
        <v>15.391999999999999</v>
      </c>
      <c r="R53" s="39">
        <f t="shared" si="5"/>
        <v>6.2557103064066846</v>
      </c>
      <c r="S53" s="128">
        <f t="shared" si="9"/>
        <v>0.74772892883167352</v>
      </c>
      <c r="T53" s="92">
        <f t="shared" si="10"/>
        <v>5591.5999999999995</v>
      </c>
      <c r="U53" s="85"/>
      <c r="V53" s="80"/>
      <c r="W53" s="77"/>
      <c r="X53" s="80"/>
      <c r="Y53" s="80"/>
      <c r="Z53" s="87"/>
      <c r="AA53" s="87"/>
      <c r="AB53" s="87"/>
      <c r="AC53" s="87"/>
      <c r="AD53" s="87"/>
      <c r="AE53" s="87"/>
      <c r="AF53" s="87"/>
      <c r="AG53" s="87"/>
      <c r="AH53" s="87"/>
      <c r="AI53" s="87"/>
      <c r="AJ53" s="87"/>
      <c r="AK53" s="87"/>
      <c r="AL53" s="87"/>
      <c r="AM53" s="87"/>
      <c r="AN53" s="87"/>
      <c r="AO53" s="87"/>
      <c r="AP53" s="87"/>
      <c r="AQ53" s="87"/>
      <c r="AR53" s="87"/>
      <c r="AS53" s="87"/>
      <c r="AT53" s="87"/>
      <c r="AU53" s="87"/>
      <c r="AV53" s="87"/>
      <c r="AW53" s="87"/>
      <c r="AX53" s="87"/>
      <c r="AY53" s="87"/>
      <c r="AZ53" s="87"/>
      <c r="BA53" s="87"/>
      <c r="BB53" s="87"/>
      <c r="BC53" s="87"/>
      <c r="BD53" s="87"/>
      <c r="BE53" s="87"/>
      <c r="BF53" s="87"/>
      <c r="BG53" s="87"/>
      <c r="BH53" s="87"/>
      <c r="BI53" s="87"/>
      <c r="BJ53" s="87"/>
      <c r="BK53" s="87"/>
      <c r="BL53" s="87"/>
      <c r="BM53" s="87"/>
      <c r="BN53" s="87"/>
      <c r="BO53" s="87"/>
      <c r="BP53" s="87"/>
      <c r="BQ53" s="87"/>
      <c r="BR53" s="87"/>
      <c r="BS53" s="87"/>
      <c r="BT53" s="87"/>
      <c r="BU53" s="87"/>
      <c r="BV53" s="87"/>
      <c r="BW53" s="87"/>
    </row>
    <row r="54" spans="1:75" ht="18.75" hidden="1">
      <c r="A54" s="121" t="s">
        <v>90</v>
      </c>
      <c r="B54" s="89">
        <v>217</v>
      </c>
      <c r="C54" s="51">
        <v>881.7</v>
      </c>
      <c r="D54" s="51">
        <v>195.2</v>
      </c>
      <c r="E54" s="63">
        <v>478.1</v>
      </c>
      <c r="F54" s="63">
        <f>734.3+94.3</f>
        <v>828.59999999999991</v>
      </c>
      <c r="G54" s="63">
        <v>111</v>
      </c>
      <c r="H54" s="64"/>
      <c r="I54" s="64"/>
      <c r="J54" s="108">
        <v>154</v>
      </c>
      <c r="K54" s="6">
        <f>923.5+71.5</f>
        <v>995</v>
      </c>
      <c r="L54" s="123">
        <f t="shared" si="6"/>
        <v>3643.6</v>
      </c>
      <c r="M54" s="42">
        <v>33.799999999999997</v>
      </c>
      <c r="N54" s="138">
        <f t="shared" si="7"/>
        <v>1417.6999999999998</v>
      </c>
      <c r="O54" s="125">
        <v>66.7</v>
      </c>
      <c r="P54" s="109">
        <f t="shared" si="8"/>
        <v>1484.3999999999999</v>
      </c>
      <c r="Q54" s="39">
        <f t="shared" si="4"/>
        <v>16.791</v>
      </c>
      <c r="R54" s="39">
        <f t="shared" si="5"/>
        <v>6.8405529953917048</v>
      </c>
      <c r="S54" s="128">
        <f t="shared" si="9"/>
        <v>0.81569103716298275</v>
      </c>
      <c r="T54" s="92">
        <f t="shared" si="10"/>
        <v>3677.4</v>
      </c>
      <c r="U54" s="85"/>
      <c r="W54" s="77"/>
    </row>
    <row r="55" spans="1:75" ht="18.75" hidden="1">
      <c r="A55" s="7" t="s">
        <v>91</v>
      </c>
      <c r="B55" s="89">
        <v>199</v>
      </c>
      <c r="C55" s="51">
        <v>811.4</v>
      </c>
      <c r="D55" s="51">
        <v>179.7</v>
      </c>
      <c r="E55" s="65">
        <v>320</v>
      </c>
      <c r="F55" s="65">
        <v>792.6</v>
      </c>
      <c r="G55" s="65">
        <v>85.3</v>
      </c>
      <c r="H55" s="64"/>
      <c r="I55" s="64"/>
      <c r="J55" s="108">
        <v>154</v>
      </c>
      <c r="K55" s="6">
        <f>852.5+66.1</f>
        <v>918.6</v>
      </c>
      <c r="L55" s="123">
        <f t="shared" si="6"/>
        <v>3261.6</v>
      </c>
      <c r="M55" s="42">
        <v>27.5</v>
      </c>
      <c r="N55" s="138">
        <f t="shared" si="7"/>
        <v>1197.8999999999999</v>
      </c>
      <c r="O55" s="125">
        <v>117.9</v>
      </c>
      <c r="P55" s="109">
        <f t="shared" si="8"/>
        <v>1315.8</v>
      </c>
      <c r="Q55" s="39">
        <f t="shared" si="4"/>
        <v>16.39</v>
      </c>
      <c r="R55" s="39">
        <f t="shared" si="5"/>
        <v>6.6120603015075377</v>
      </c>
      <c r="S55" s="128">
        <f t="shared" si="9"/>
        <v>0.79621083313092056</v>
      </c>
      <c r="T55" s="92">
        <f t="shared" si="10"/>
        <v>3289.1</v>
      </c>
      <c r="U55" s="85"/>
      <c r="W55" s="77"/>
    </row>
    <row r="56" spans="1:75" s="107" customFormat="1" ht="18.75">
      <c r="A56" s="120">
        <v>226</v>
      </c>
      <c r="B56" s="106">
        <v>458</v>
      </c>
      <c r="C56" s="52">
        <v>1397.6</v>
      </c>
      <c r="D56" s="52">
        <v>309.39999999999998</v>
      </c>
      <c r="E56" s="63">
        <v>776.5</v>
      </c>
      <c r="F56" s="63">
        <f>995.5+128.9</f>
        <v>1124.4000000000001</v>
      </c>
      <c r="G56" s="63">
        <v>138.1</v>
      </c>
      <c r="H56" s="66"/>
      <c r="I56" s="66"/>
      <c r="J56" s="96">
        <v>274</v>
      </c>
      <c r="K56" s="97">
        <f>2165.1+167.6</f>
        <v>2332.6999999999998</v>
      </c>
      <c r="L56" s="123">
        <f t="shared" si="6"/>
        <v>6352.7</v>
      </c>
      <c r="M56" s="42">
        <v>60.5</v>
      </c>
      <c r="N56" s="138">
        <f t="shared" si="7"/>
        <v>2039</v>
      </c>
      <c r="O56" s="125">
        <v>194.9</v>
      </c>
      <c r="P56" s="109">
        <f t="shared" si="8"/>
        <v>2233.9</v>
      </c>
      <c r="Q56" s="39">
        <f t="shared" si="4"/>
        <v>13.871</v>
      </c>
      <c r="R56" s="39">
        <f t="shared" si="5"/>
        <v>4.8775109170305679</v>
      </c>
      <c r="S56" s="128">
        <f t="shared" si="9"/>
        <v>0.67384017488462467</v>
      </c>
      <c r="T56" s="154">
        <f t="shared" si="10"/>
        <v>6413.2</v>
      </c>
      <c r="U56" s="85"/>
      <c r="V56" s="80"/>
      <c r="W56" s="77"/>
      <c r="X56" s="80"/>
      <c r="Y56" s="80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</row>
    <row r="57" spans="1:75" ht="18.75">
      <c r="A57" s="7" t="s">
        <v>92</v>
      </c>
      <c r="B57" s="89">
        <v>475</v>
      </c>
      <c r="C57" s="51">
        <v>1397.6</v>
      </c>
      <c r="D57" s="51">
        <v>309.39999999999998</v>
      </c>
      <c r="E57" s="63">
        <v>1057.7</v>
      </c>
      <c r="F57" s="63">
        <f>908.5+116.4</f>
        <v>1024.9000000000001</v>
      </c>
      <c r="G57" s="63">
        <v>218.6</v>
      </c>
      <c r="H57" s="64"/>
      <c r="I57" s="64"/>
      <c r="J57" s="108">
        <v>274</v>
      </c>
      <c r="K57" s="6">
        <f>2179.6+168.8</f>
        <v>2348.4</v>
      </c>
      <c r="L57" s="123">
        <f t="shared" si="6"/>
        <v>6630.6</v>
      </c>
      <c r="M57" s="42">
        <v>63.8</v>
      </c>
      <c r="N57" s="138">
        <f t="shared" si="7"/>
        <v>2301.2000000000003</v>
      </c>
      <c r="O57" s="125">
        <v>153.5</v>
      </c>
      <c r="P57" s="109">
        <f t="shared" si="8"/>
        <v>2454.7000000000003</v>
      </c>
      <c r="Q57" s="39">
        <f t="shared" si="4"/>
        <v>13.959</v>
      </c>
      <c r="R57" s="39">
        <f t="shared" si="5"/>
        <v>5.1677894736842109</v>
      </c>
      <c r="S57" s="128">
        <f t="shared" si="9"/>
        <v>0.67811513237794507</v>
      </c>
      <c r="T57" s="154">
        <f t="shared" si="10"/>
        <v>6694.4000000000005</v>
      </c>
      <c r="U57" s="85"/>
      <c r="W57" s="77"/>
    </row>
    <row r="58" spans="1:75" ht="18.75" hidden="1">
      <c r="A58" s="7" t="s">
        <v>93</v>
      </c>
      <c r="B58" s="89">
        <v>216</v>
      </c>
      <c r="C58" s="51">
        <v>811.4</v>
      </c>
      <c r="D58" s="51">
        <v>179.7</v>
      </c>
      <c r="E58" s="63">
        <v>261.89999999999998</v>
      </c>
      <c r="F58" s="63">
        <f>643.8+83.6</f>
        <v>727.4</v>
      </c>
      <c r="G58" s="63">
        <v>90.4</v>
      </c>
      <c r="H58" s="64"/>
      <c r="I58" s="64"/>
      <c r="J58" s="108">
        <v>154</v>
      </c>
      <c r="K58" s="6">
        <f>1005.2+77.9</f>
        <v>1083.1000000000001</v>
      </c>
      <c r="L58" s="123">
        <f t="shared" si="6"/>
        <v>3307.9</v>
      </c>
      <c r="M58" s="42">
        <v>40</v>
      </c>
      <c r="N58" s="138">
        <f t="shared" si="7"/>
        <v>1079.7</v>
      </c>
      <c r="O58" s="125">
        <v>114.4</v>
      </c>
      <c r="P58" s="109">
        <f t="shared" si="8"/>
        <v>1194.1000000000001</v>
      </c>
      <c r="Q58" s="39">
        <f t="shared" si="4"/>
        <v>15.314</v>
      </c>
      <c r="R58" s="39">
        <f t="shared" si="5"/>
        <v>5.528240740740741</v>
      </c>
      <c r="S58" s="128">
        <f t="shared" si="9"/>
        <v>0.74393976196259415</v>
      </c>
      <c r="T58" s="92">
        <f t="shared" si="10"/>
        <v>3347.9</v>
      </c>
      <c r="U58" s="85"/>
      <c r="W58" s="77"/>
    </row>
    <row r="59" spans="1:75" s="107" customFormat="1" ht="18.75" hidden="1">
      <c r="A59" s="120">
        <v>235</v>
      </c>
      <c r="B59" s="106">
        <v>171</v>
      </c>
      <c r="C59" s="52">
        <v>834.8</v>
      </c>
      <c r="D59" s="52">
        <v>184.8</v>
      </c>
      <c r="E59" s="65">
        <v>390.5</v>
      </c>
      <c r="F59" s="65">
        <v>587.79999999999995</v>
      </c>
      <c r="G59" s="65">
        <v>69.599999999999994</v>
      </c>
      <c r="H59" s="66"/>
      <c r="I59" s="66"/>
      <c r="J59" s="96">
        <v>154</v>
      </c>
      <c r="K59" s="97">
        <f>816.3+63.2</f>
        <v>879.5</v>
      </c>
      <c r="L59" s="123">
        <f t="shared" si="6"/>
        <v>3101</v>
      </c>
      <c r="M59" s="42">
        <v>27.9</v>
      </c>
      <c r="N59" s="138">
        <f t="shared" si="7"/>
        <v>1047.8999999999999</v>
      </c>
      <c r="O59" s="125">
        <v>106</v>
      </c>
      <c r="P59" s="109">
        <f t="shared" si="8"/>
        <v>1153.8999999999999</v>
      </c>
      <c r="Q59" s="39">
        <f t="shared" si="4"/>
        <v>18.135000000000002</v>
      </c>
      <c r="R59" s="39">
        <f t="shared" si="5"/>
        <v>6.7479532163742686</v>
      </c>
      <c r="S59" s="128">
        <f t="shared" si="9"/>
        <v>0.88098129706096673</v>
      </c>
      <c r="T59" s="92">
        <f t="shared" si="10"/>
        <v>3128.9</v>
      </c>
      <c r="U59" s="85"/>
      <c r="V59" s="80"/>
      <c r="W59" s="77"/>
      <c r="X59" s="80"/>
      <c r="Y59" s="80"/>
      <c r="Z59" s="87"/>
      <c r="AA59" s="87"/>
      <c r="AB59" s="87"/>
      <c r="AC59" s="87"/>
      <c r="AD59" s="87"/>
      <c r="AE59" s="87"/>
      <c r="AF59" s="87"/>
      <c r="AG59" s="87"/>
      <c r="AH59" s="87"/>
      <c r="AI59" s="87"/>
      <c r="AJ59" s="87"/>
      <c r="AK59" s="87"/>
      <c r="AL59" s="87"/>
      <c r="AM59" s="87"/>
      <c r="AN59" s="87"/>
      <c r="AO59" s="87"/>
      <c r="AP59" s="87"/>
      <c r="AQ59" s="87"/>
      <c r="AR59" s="87"/>
      <c r="AS59" s="87"/>
      <c r="AT59" s="87"/>
      <c r="AU59" s="87"/>
      <c r="AV59" s="87"/>
      <c r="AW59" s="87"/>
      <c r="AX59" s="87"/>
      <c r="AY59" s="87"/>
      <c r="AZ59" s="87"/>
      <c r="BA59" s="87"/>
      <c r="BB59" s="87"/>
      <c r="BC59" s="87"/>
      <c r="BD59" s="87"/>
      <c r="BE59" s="87"/>
      <c r="BF59" s="87"/>
      <c r="BG59" s="87"/>
      <c r="BH59" s="87"/>
      <c r="BI59" s="87"/>
      <c r="BJ59" s="87"/>
      <c r="BK59" s="87"/>
      <c r="BL59" s="87"/>
      <c r="BM59" s="87"/>
      <c r="BN59" s="87"/>
      <c r="BO59" s="87"/>
      <c r="BP59" s="87"/>
      <c r="BQ59" s="87"/>
      <c r="BR59" s="87"/>
      <c r="BS59" s="87"/>
      <c r="BT59" s="87"/>
      <c r="BU59" s="87"/>
      <c r="BV59" s="87"/>
      <c r="BW59" s="87"/>
    </row>
    <row r="60" spans="1:75" ht="18.75">
      <c r="A60" s="7" t="s">
        <v>94</v>
      </c>
      <c r="B60" s="89">
        <v>445</v>
      </c>
      <c r="C60" s="51">
        <v>1327.3</v>
      </c>
      <c r="D60" s="51">
        <v>293.89999999999998</v>
      </c>
      <c r="E60" s="63">
        <v>593.5</v>
      </c>
      <c r="F60" s="63">
        <v>1388.2</v>
      </c>
      <c r="G60" s="63">
        <v>185.4</v>
      </c>
      <c r="H60" s="64"/>
      <c r="I60" s="64"/>
      <c r="J60" s="108">
        <v>274</v>
      </c>
      <c r="K60" s="6">
        <f>1837.9+142.3</f>
        <v>1980.2</v>
      </c>
      <c r="L60" s="123">
        <f t="shared" si="6"/>
        <v>6042.5</v>
      </c>
      <c r="M60" s="42">
        <v>60.5</v>
      </c>
      <c r="N60" s="138">
        <f t="shared" si="7"/>
        <v>2167.1</v>
      </c>
      <c r="O60" s="125">
        <v>143</v>
      </c>
      <c r="P60" s="109">
        <f t="shared" si="8"/>
        <v>2310.1</v>
      </c>
      <c r="Q60" s="39">
        <f t="shared" si="4"/>
        <v>13.579000000000001</v>
      </c>
      <c r="R60" s="39">
        <f t="shared" si="5"/>
        <v>5.1912359550561797</v>
      </c>
      <c r="S60" s="128">
        <f t="shared" si="9"/>
        <v>0.6596550886567889</v>
      </c>
      <c r="T60" s="154">
        <f t="shared" si="10"/>
        <v>6103</v>
      </c>
      <c r="U60" s="85"/>
      <c r="W60" s="77"/>
    </row>
    <row r="61" spans="1:75" ht="18.75" hidden="1">
      <c r="A61" s="7" t="s">
        <v>95</v>
      </c>
      <c r="B61" s="89">
        <v>422</v>
      </c>
      <c r="C61" s="51">
        <v>1092.8</v>
      </c>
      <c r="D61" s="51">
        <v>242</v>
      </c>
      <c r="E61" s="63">
        <v>556.70000000000005</v>
      </c>
      <c r="F61" s="63">
        <v>1817.9</v>
      </c>
      <c r="G61" s="63">
        <v>121.9</v>
      </c>
      <c r="H61" s="64"/>
      <c r="I61" s="64"/>
      <c r="J61" s="108">
        <v>187</v>
      </c>
      <c r="K61" s="6">
        <f>1881.6+145.7</f>
        <v>2027.3</v>
      </c>
      <c r="L61" s="123">
        <f t="shared" si="6"/>
        <v>6045.6</v>
      </c>
      <c r="M61" s="42">
        <v>58.1</v>
      </c>
      <c r="N61" s="138">
        <f t="shared" si="7"/>
        <v>2496.5000000000005</v>
      </c>
      <c r="O61" s="125">
        <v>142</v>
      </c>
      <c r="P61" s="109">
        <f t="shared" si="8"/>
        <v>2638.5000000000005</v>
      </c>
      <c r="Q61" s="39">
        <f t="shared" si="4"/>
        <v>14.326000000000001</v>
      </c>
      <c r="R61" s="39">
        <f t="shared" si="5"/>
        <v>6.2523696682464465</v>
      </c>
      <c r="S61" s="128">
        <f t="shared" si="9"/>
        <v>0.69594364828758803</v>
      </c>
      <c r="T61" s="92">
        <f t="shared" si="10"/>
        <v>6103.7000000000007</v>
      </c>
      <c r="U61" s="85"/>
      <c r="W61" s="77"/>
    </row>
    <row r="62" spans="1:75" ht="18.75" hidden="1">
      <c r="A62" s="7" t="s">
        <v>96</v>
      </c>
      <c r="B62" s="89">
        <v>161</v>
      </c>
      <c r="C62" s="51">
        <v>741</v>
      </c>
      <c r="D62" s="51">
        <v>164.1</v>
      </c>
      <c r="E62" s="63">
        <v>666.1</v>
      </c>
      <c r="F62" s="63">
        <v>407.6</v>
      </c>
      <c r="G62" s="63">
        <v>114.6</v>
      </c>
      <c r="H62" s="64"/>
      <c r="I62" s="64"/>
      <c r="J62" s="108">
        <v>154</v>
      </c>
      <c r="K62" s="6">
        <f>843.5+65.4</f>
        <v>908.9</v>
      </c>
      <c r="L62" s="123">
        <f t="shared" si="6"/>
        <v>3156.3</v>
      </c>
      <c r="M62" s="42">
        <v>22.2</v>
      </c>
      <c r="N62" s="138">
        <f t="shared" si="7"/>
        <v>1188.3</v>
      </c>
      <c r="O62" s="125">
        <v>103.8</v>
      </c>
      <c r="P62" s="109">
        <f t="shared" si="8"/>
        <v>1292.0999999999999</v>
      </c>
      <c r="Q62" s="39">
        <f t="shared" si="4"/>
        <v>19.603999999999999</v>
      </c>
      <c r="R62" s="39">
        <f t="shared" si="5"/>
        <v>8.0254658385093158</v>
      </c>
      <c r="S62" s="128">
        <f t="shared" si="9"/>
        <v>0.95234393976196252</v>
      </c>
      <c r="T62" s="92">
        <f t="shared" si="10"/>
        <v>3178.5</v>
      </c>
      <c r="U62" s="85"/>
      <c r="W62" s="77"/>
    </row>
    <row r="63" spans="1:75" s="107" customFormat="1" ht="18.75" hidden="1">
      <c r="A63" s="120">
        <v>40</v>
      </c>
      <c r="B63" s="106">
        <v>51</v>
      </c>
      <c r="C63" s="52">
        <v>655</v>
      </c>
      <c r="D63" s="52">
        <v>145</v>
      </c>
      <c r="E63" s="65">
        <v>149</v>
      </c>
      <c r="F63" s="65">
        <v>246.7</v>
      </c>
      <c r="G63" s="65">
        <v>36.700000000000003</v>
      </c>
      <c r="H63" s="66"/>
      <c r="I63" s="66"/>
      <c r="J63" s="98">
        <v>130</v>
      </c>
      <c r="K63" s="44">
        <f>1068.9+82.8</f>
        <v>1151.7</v>
      </c>
      <c r="L63" s="123">
        <f t="shared" si="6"/>
        <v>2514.1</v>
      </c>
      <c r="M63" s="42">
        <v>20.2</v>
      </c>
      <c r="N63" s="138">
        <f t="shared" si="7"/>
        <v>432.4</v>
      </c>
      <c r="O63" s="125">
        <v>100.5</v>
      </c>
      <c r="P63" s="109">
        <f t="shared" si="8"/>
        <v>532.9</v>
      </c>
      <c r="Q63" s="39">
        <f t="shared" si="4"/>
        <v>49.295999999999999</v>
      </c>
      <c r="R63" s="39">
        <f t="shared" si="5"/>
        <v>10.449019607843137</v>
      </c>
      <c r="S63" s="156">
        <f t="shared" si="9"/>
        <v>2.3947534612581975</v>
      </c>
      <c r="T63" s="92">
        <f t="shared" si="10"/>
        <v>2534.2999999999997</v>
      </c>
      <c r="U63" s="85"/>
      <c r="V63" s="80"/>
      <c r="W63" s="77"/>
      <c r="X63" s="80"/>
      <c r="Y63" s="80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</row>
    <row r="64" spans="1:75" ht="18.75" hidden="1">
      <c r="A64" s="7" t="s">
        <v>97</v>
      </c>
      <c r="B64" s="89">
        <v>164</v>
      </c>
      <c r="C64" s="51">
        <v>866.1</v>
      </c>
      <c r="D64" s="51">
        <v>191.8</v>
      </c>
      <c r="E64" s="63">
        <v>884.2</v>
      </c>
      <c r="F64" s="63">
        <v>520.29999999999995</v>
      </c>
      <c r="G64" s="63">
        <v>100.5</v>
      </c>
      <c r="H64" s="64"/>
      <c r="I64" s="64"/>
      <c r="J64" s="109">
        <v>154</v>
      </c>
      <c r="K64" s="42">
        <f>743.5+57.5</f>
        <v>801</v>
      </c>
      <c r="L64" s="123">
        <f t="shared" si="6"/>
        <v>3517.9</v>
      </c>
      <c r="M64" s="42">
        <v>17.8</v>
      </c>
      <c r="N64" s="138">
        <f t="shared" si="7"/>
        <v>1505</v>
      </c>
      <c r="O64" s="125">
        <v>114.4</v>
      </c>
      <c r="P64" s="109">
        <f t="shared" si="8"/>
        <v>1619.4</v>
      </c>
      <c r="Q64" s="39">
        <f t="shared" si="4"/>
        <v>21.451000000000001</v>
      </c>
      <c r="R64" s="39">
        <f t="shared" si="5"/>
        <v>9.8743902439024396</v>
      </c>
      <c r="S64" s="157">
        <f t="shared" si="9"/>
        <v>1.0420694680592664</v>
      </c>
      <c r="T64" s="92">
        <f t="shared" si="10"/>
        <v>3535.7000000000003</v>
      </c>
      <c r="U64" s="85"/>
      <c r="W64" s="77"/>
    </row>
    <row r="65" spans="1:75" s="107" customFormat="1" ht="18.75" hidden="1">
      <c r="A65" s="120">
        <v>55</v>
      </c>
      <c r="B65" s="106">
        <v>162</v>
      </c>
      <c r="C65" s="52">
        <v>866.1</v>
      </c>
      <c r="D65" s="52">
        <v>191.8</v>
      </c>
      <c r="E65" s="65">
        <v>271</v>
      </c>
      <c r="F65" s="65">
        <v>601.9</v>
      </c>
      <c r="G65" s="65">
        <v>66.2</v>
      </c>
      <c r="H65" s="66"/>
      <c r="I65" s="66"/>
      <c r="J65" s="98">
        <v>154</v>
      </c>
      <c r="K65" s="44">
        <f>2536.1+196.4</f>
        <v>2732.5</v>
      </c>
      <c r="L65" s="123">
        <f t="shared" si="6"/>
        <v>4883.5</v>
      </c>
      <c r="M65" s="42">
        <v>31.7</v>
      </c>
      <c r="N65" s="138">
        <f t="shared" si="7"/>
        <v>939.1</v>
      </c>
      <c r="O65" s="125">
        <v>121.5</v>
      </c>
      <c r="P65" s="109">
        <f t="shared" si="8"/>
        <v>1060.5999999999999</v>
      </c>
      <c r="Q65" s="39">
        <f t="shared" si="4"/>
        <v>30.145</v>
      </c>
      <c r="R65" s="39">
        <f t="shared" si="5"/>
        <v>6.5469135802469127</v>
      </c>
      <c r="S65" s="157">
        <f t="shared" si="9"/>
        <v>1.4644158367743503</v>
      </c>
      <c r="T65" s="92">
        <f t="shared" si="10"/>
        <v>4915.2</v>
      </c>
      <c r="U65" s="85"/>
      <c r="V65" s="80"/>
      <c r="W65" s="77"/>
      <c r="X65" s="80"/>
      <c r="Y65" s="80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</row>
    <row r="66" spans="1:75" ht="18.75" hidden="1">
      <c r="A66" s="7" t="s">
        <v>98</v>
      </c>
      <c r="B66" s="89">
        <v>187</v>
      </c>
      <c r="C66" s="51">
        <v>1286.5999999999999</v>
      </c>
      <c r="D66" s="51">
        <v>284.89999999999998</v>
      </c>
      <c r="E66" s="63">
        <v>319.60000000000002</v>
      </c>
      <c r="F66" s="63">
        <v>516.1</v>
      </c>
      <c r="G66" s="63">
        <v>51.4</v>
      </c>
      <c r="H66" s="64"/>
      <c r="I66" s="64"/>
      <c r="J66" s="109">
        <v>164</v>
      </c>
      <c r="K66" s="42">
        <f>789+61.1</f>
        <v>850.1</v>
      </c>
      <c r="L66" s="123">
        <f t="shared" si="6"/>
        <v>3472.7</v>
      </c>
      <c r="M66" s="42">
        <v>52.8</v>
      </c>
      <c r="N66" s="138">
        <f t="shared" si="7"/>
        <v>887.1</v>
      </c>
      <c r="O66" s="125">
        <v>151.80000000000001</v>
      </c>
      <c r="P66" s="109">
        <f t="shared" si="8"/>
        <v>1038.9000000000001</v>
      </c>
      <c r="Q66" s="39">
        <f t="shared" si="4"/>
        <v>18.571000000000002</v>
      </c>
      <c r="R66" s="39">
        <f t="shared" si="5"/>
        <v>5.5556149732620321</v>
      </c>
      <c r="S66" s="128">
        <f t="shared" si="9"/>
        <v>0.90216176827787231</v>
      </c>
      <c r="T66" s="92">
        <f t="shared" si="10"/>
        <v>3525.5</v>
      </c>
      <c r="U66" s="85"/>
      <c r="W66" s="77"/>
    </row>
    <row r="67" spans="1:75" ht="18.75" hidden="1">
      <c r="A67" s="7" t="s">
        <v>99</v>
      </c>
      <c r="B67" s="89">
        <v>178</v>
      </c>
      <c r="C67" s="51">
        <v>928.6</v>
      </c>
      <c r="D67" s="51">
        <v>205.6</v>
      </c>
      <c r="E67" s="63">
        <v>340.6</v>
      </c>
      <c r="F67" s="63">
        <v>524.9</v>
      </c>
      <c r="G67" s="63">
        <v>77.5</v>
      </c>
      <c r="H67" s="64"/>
      <c r="I67" s="64"/>
      <c r="J67" s="109">
        <v>154</v>
      </c>
      <c r="K67" s="42">
        <f>801.7+62.1</f>
        <v>863.80000000000007</v>
      </c>
      <c r="L67" s="123">
        <f t="shared" si="6"/>
        <v>3095</v>
      </c>
      <c r="M67" s="42">
        <v>26.8</v>
      </c>
      <c r="N67" s="138">
        <f t="shared" si="7"/>
        <v>943</v>
      </c>
      <c r="O67" s="125">
        <v>126.5</v>
      </c>
      <c r="P67" s="109">
        <f t="shared" si="8"/>
        <v>1069.5</v>
      </c>
      <c r="Q67" s="39">
        <f t="shared" si="4"/>
        <v>17.388000000000002</v>
      </c>
      <c r="R67" s="39">
        <f t="shared" si="5"/>
        <v>6.0084269662921352</v>
      </c>
      <c r="S67" s="128">
        <f t="shared" si="9"/>
        <v>0.8446927374301676</v>
      </c>
      <c r="T67" s="92">
        <f t="shared" si="10"/>
        <v>3121.8</v>
      </c>
      <c r="U67" s="85"/>
      <c r="W67" s="77"/>
    </row>
    <row r="68" spans="1:75" ht="18.75" hidden="1">
      <c r="A68" s="7" t="s">
        <v>100</v>
      </c>
      <c r="B68" s="89">
        <v>265</v>
      </c>
      <c r="C68" s="51">
        <v>1217.9000000000001</v>
      </c>
      <c r="D68" s="51">
        <v>269.7</v>
      </c>
      <c r="E68" s="63">
        <v>497.7</v>
      </c>
      <c r="F68" s="63">
        <v>1011.5</v>
      </c>
      <c r="G68" s="63">
        <v>129.5</v>
      </c>
      <c r="H68" s="64"/>
      <c r="I68" s="64"/>
      <c r="J68" s="109">
        <v>168</v>
      </c>
      <c r="K68" s="42">
        <f>1167.1+90.4</f>
        <v>1257.5</v>
      </c>
      <c r="L68" s="123">
        <f t="shared" si="6"/>
        <v>4551.8</v>
      </c>
      <c r="M68" s="42">
        <v>35.6</v>
      </c>
      <c r="N68" s="138">
        <f t="shared" si="7"/>
        <v>1638.7</v>
      </c>
      <c r="O68" s="125">
        <v>132.5</v>
      </c>
      <c r="P68" s="109">
        <f t="shared" si="8"/>
        <v>1771.2</v>
      </c>
      <c r="Q68" s="39">
        <f t="shared" si="4"/>
        <v>17.177</v>
      </c>
      <c r="R68" s="39">
        <f t="shared" si="5"/>
        <v>6.6837735849056603</v>
      </c>
      <c r="S68" s="128">
        <f t="shared" si="9"/>
        <v>0.83444255525868349</v>
      </c>
      <c r="T68" s="92">
        <f t="shared" si="10"/>
        <v>4587.4000000000005</v>
      </c>
      <c r="U68" s="85"/>
      <c r="W68" s="77"/>
    </row>
    <row r="69" spans="1:75" s="107" customFormat="1" ht="18.75" hidden="1">
      <c r="A69" s="120">
        <v>115</v>
      </c>
      <c r="B69" s="106">
        <v>58</v>
      </c>
      <c r="C69" s="52">
        <v>655</v>
      </c>
      <c r="D69" s="52">
        <v>145</v>
      </c>
      <c r="E69" s="65">
        <v>235.8</v>
      </c>
      <c r="F69" s="65">
        <v>390.3</v>
      </c>
      <c r="G69" s="65">
        <v>30.5</v>
      </c>
      <c r="H69" s="66"/>
      <c r="I69" s="66"/>
      <c r="J69" s="98">
        <v>130</v>
      </c>
      <c r="K69" s="44">
        <f>450.9+35</f>
        <v>485.9</v>
      </c>
      <c r="L69" s="123">
        <f t="shared" si="6"/>
        <v>2072.5</v>
      </c>
      <c r="M69" s="42">
        <v>26.7</v>
      </c>
      <c r="N69" s="138">
        <f t="shared" si="7"/>
        <v>656.6</v>
      </c>
      <c r="O69" s="125">
        <v>82.5</v>
      </c>
      <c r="P69" s="109">
        <f t="shared" si="8"/>
        <v>739.1</v>
      </c>
      <c r="Q69" s="39">
        <f t="shared" si="4"/>
        <v>35.732999999999997</v>
      </c>
      <c r="R69" s="39">
        <f t="shared" si="5"/>
        <v>12.743103448275862</v>
      </c>
      <c r="S69" s="157">
        <f t="shared" si="9"/>
        <v>1.735875637600194</v>
      </c>
      <c r="T69" s="92">
        <f t="shared" si="10"/>
        <v>2099.1999999999998</v>
      </c>
      <c r="U69" s="85"/>
      <c r="V69" s="80"/>
      <c r="W69" s="77"/>
      <c r="X69" s="80"/>
      <c r="Y69" s="80"/>
      <c r="Z69" s="87"/>
      <c r="AA69" s="87"/>
      <c r="AB69" s="87"/>
      <c r="AC69" s="87"/>
      <c r="AD69" s="87"/>
      <c r="AE69" s="87"/>
      <c r="AF69" s="87"/>
      <c r="AG69" s="87"/>
      <c r="AH69" s="87"/>
      <c r="AI69" s="87"/>
      <c r="AJ69" s="87"/>
      <c r="AK69" s="87"/>
      <c r="AL69" s="87"/>
      <c r="AM69" s="87"/>
      <c r="AN69" s="87"/>
      <c r="AO69" s="87"/>
      <c r="AP69" s="87"/>
      <c r="AQ69" s="87"/>
      <c r="AR69" s="87"/>
      <c r="AS69" s="87"/>
      <c r="AT69" s="87"/>
      <c r="AU69" s="87"/>
      <c r="AV69" s="87"/>
      <c r="AW69" s="87"/>
      <c r="AX69" s="87"/>
      <c r="AY69" s="87"/>
      <c r="AZ69" s="87"/>
      <c r="BA69" s="87"/>
      <c r="BB69" s="87"/>
      <c r="BC69" s="87"/>
      <c r="BD69" s="87"/>
      <c r="BE69" s="87"/>
      <c r="BF69" s="87"/>
      <c r="BG69" s="87"/>
      <c r="BH69" s="87"/>
      <c r="BI69" s="87"/>
      <c r="BJ69" s="87"/>
      <c r="BK69" s="87"/>
      <c r="BL69" s="87"/>
      <c r="BM69" s="87"/>
      <c r="BN69" s="87"/>
      <c r="BO69" s="87"/>
      <c r="BP69" s="87"/>
      <c r="BQ69" s="87"/>
      <c r="BR69" s="87"/>
      <c r="BS69" s="87"/>
      <c r="BT69" s="87"/>
      <c r="BU69" s="87"/>
      <c r="BV69" s="87"/>
      <c r="BW69" s="87"/>
    </row>
    <row r="70" spans="1:75" ht="18.75" hidden="1">
      <c r="A70" s="7" t="s">
        <v>101</v>
      </c>
      <c r="B70" s="89">
        <v>190</v>
      </c>
      <c r="C70" s="51">
        <v>999</v>
      </c>
      <c r="D70" s="51">
        <v>221.2</v>
      </c>
      <c r="E70" s="63">
        <v>379.9</v>
      </c>
      <c r="F70" s="63">
        <v>416.3</v>
      </c>
      <c r="G70" s="63">
        <v>58</v>
      </c>
      <c r="H70" s="64"/>
      <c r="I70" s="64"/>
      <c r="J70" s="109">
        <v>154</v>
      </c>
      <c r="K70" s="42">
        <f>919.8+71.2</f>
        <v>991</v>
      </c>
      <c r="L70" s="123">
        <f t="shared" si="6"/>
        <v>3219.4</v>
      </c>
      <c r="M70" s="42">
        <v>29.3</v>
      </c>
      <c r="N70" s="138">
        <f t="shared" si="7"/>
        <v>854.2</v>
      </c>
      <c r="O70" s="125">
        <v>123.5</v>
      </c>
      <c r="P70" s="109">
        <f t="shared" si="8"/>
        <v>977.7</v>
      </c>
      <c r="Q70" s="39">
        <f t="shared" si="4"/>
        <v>16.943999999999999</v>
      </c>
      <c r="R70" s="39">
        <f t="shared" si="5"/>
        <v>5.1457894736842107</v>
      </c>
      <c r="S70" s="128">
        <f t="shared" si="9"/>
        <v>0.82312363371386921</v>
      </c>
      <c r="T70" s="92">
        <f t="shared" si="10"/>
        <v>3248.7000000000003</v>
      </c>
      <c r="U70" s="85"/>
      <c r="W70" s="77"/>
    </row>
    <row r="71" spans="1:75" ht="18.75" hidden="1">
      <c r="A71" s="7" t="s">
        <v>102</v>
      </c>
      <c r="B71" s="89">
        <v>186</v>
      </c>
      <c r="C71" s="51">
        <v>873.9</v>
      </c>
      <c r="D71" s="51">
        <v>193.5</v>
      </c>
      <c r="E71" s="63">
        <v>163.69999999999999</v>
      </c>
      <c r="F71" s="63">
        <v>461.9</v>
      </c>
      <c r="G71" s="63">
        <v>60.3</v>
      </c>
      <c r="H71" s="64"/>
      <c r="I71" s="64"/>
      <c r="J71" s="109">
        <v>154</v>
      </c>
      <c r="K71" s="42">
        <f>781.7+60.6</f>
        <v>842.30000000000007</v>
      </c>
      <c r="L71" s="123">
        <f t="shared" si="6"/>
        <v>2749.6</v>
      </c>
      <c r="M71" s="42">
        <v>32</v>
      </c>
      <c r="N71" s="138">
        <f t="shared" si="7"/>
        <v>685.89999999999986</v>
      </c>
      <c r="O71" s="125">
        <v>120</v>
      </c>
      <c r="P71" s="109">
        <f t="shared" si="8"/>
        <v>805.89999999999986</v>
      </c>
      <c r="Q71" s="39">
        <f t="shared" si="4"/>
        <v>14.782999999999999</v>
      </c>
      <c r="R71" s="39">
        <f t="shared" si="5"/>
        <v>4.3327956989247305</v>
      </c>
      <c r="S71" s="128">
        <f t="shared" si="9"/>
        <v>0.71814427981539952</v>
      </c>
      <c r="T71" s="92">
        <f t="shared" si="10"/>
        <v>2781.6</v>
      </c>
      <c r="U71" s="85"/>
      <c r="W71" s="77"/>
    </row>
    <row r="72" spans="1:75" ht="18.75" hidden="1">
      <c r="A72" s="7" t="s">
        <v>103</v>
      </c>
      <c r="B72" s="89">
        <v>127</v>
      </c>
      <c r="C72" s="51">
        <v>827</v>
      </c>
      <c r="D72" s="51">
        <v>183.1</v>
      </c>
      <c r="E72" s="63">
        <v>189.9</v>
      </c>
      <c r="F72" s="63">
        <v>603.6</v>
      </c>
      <c r="G72" s="63">
        <v>52.3</v>
      </c>
      <c r="H72" s="64"/>
      <c r="I72" s="64"/>
      <c r="J72" s="109">
        <v>150</v>
      </c>
      <c r="K72" s="42">
        <f>676.2+52.4</f>
        <v>728.6</v>
      </c>
      <c r="L72" s="123">
        <f t="shared" si="6"/>
        <v>2734.5</v>
      </c>
      <c r="M72" s="42">
        <v>35.299999999999997</v>
      </c>
      <c r="N72" s="138">
        <f t="shared" si="7"/>
        <v>845.8</v>
      </c>
      <c r="O72" s="125">
        <v>94.8</v>
      </c>
      <c r="P72" s="109">
        <f t="shared" si="8"/>
        <v>940.59999999999991</v>
      </c>
      <c r="Q72" s="39">
        <f t="shared" si="4"/>
        <v>21.530999999999999</v>
      </c>
      <c r="R72" s="39">
        <f t="shared" si="5"/>
        <v>7.4062992125984248</v>
      </c>
      <c r="S72" s="157">
        <f t="shared" si="9"/>
        <v>1.045955793053194</v>
      </c>
      <c r="T72" s="92">
        <f t="shared" si="10"/>
        <v>2769.8</v>
      </c>
      <c r="U72" s="85"/>
      <c r="W72" s="77"/>
    </row>
    <row r="73" spans="1:75" ht="18.75" hidden="1">
      <c r="A73" s="7" t="s">
        <v>104</v>
      </c>
      <c r="B73" s="89">
        <v>222</v>
      </c>
      <c r="C73" s="51">
        <v>1006.8</v>
      </c>
      <c r="D73" s="51">
        <v>222.9</v>
      </c>
      <c r="E73" s="63">
        <f>284.9</f>
        <v>284.89999999999998</v>
      </c>
      <c r="F73" s="63">
        <f>604.9+78.2</f>
        <v>683.1</v>
      </c>
      <c r="G73" s="63">
        <v>57.8</v>
      </c>
      <c r="H73" s="64"/>
      <c r="I73" s="64"/>
      <c r="J73" s="109">
        <v>154</v>
      </c>
      <c r="K73" s="42">
        <f>1030.8+79.8</f>
        <v>1110.5999999999999</v>
      </c>
      <c r="L73" s="123">
        <f t="shared" si="6"/>
        <v>3520.1</v>
      </c>
      <c r="M73" s="42">
        <v>27.8</v>
      </c>
      <c r="N73" s="138">
        <f t="shared" si="7"/>
        <v>1025.8</v>
      </c>
      <c r="O73" s="125">
        <v>119.4</v>
      </c>
      <c r="P73" s="109">
        <f t="shared" si="8"/>
        <v>1145.2</v>
      </c>
      <c r="Q73" s="39">
        <f t="shared" si="4"/>
        <v>15.856</v>
      </c>
      <c r="R73" s="39">
        <f t="shared" si="5"/>
        <v>5.1585585585585587</v>
      </c>
      <c r="S73" s="128">
        <f t="shared" si="9"/>
        <v>0.77026961379645364</v>
      </c>
      <c r="T73" s="92">
        <f t="shared" si="10"/>
        <v>3547.9</v>
      </c>
      <c r="U73" s="85"/>
      <c r="W73" s="77"/>
    </row>
    <row r="74" spans="1:75" ht="18.75" hidden="1">
      <c r="A74" s="7" t="s">
        <v>105</v>
      </c>
      <c r="B74" s="89">
        <v>118</v>
      </c>
      <c r="C74" s="51">
        <v>741</v>
      </c>
      <c r="D74" s="51">
        <v>164.1</v>
      </c>
      <c r="E74" s="63">
        <v>248.9</v>
      </c>
      <c r="F74" s="63">
        <v>450.3</v>
      </c>
      <c r="G74" s="63">
        <v>40.700000000000003</v>
      </c>
      <c r="H74" s="64"/>
      <c r="I74" s="64"/>
      <c r="J74" s="109">
        <v>130</v>
      </c>
      <c r="K74" s="42">
        <f>561.7+43.5</f>
        <v>605.20000000000005</v>
      </c>
      <c r="L74" s="123">
        <f t="shared" si="6"/>
        <v>2380.1999999999998</v>
      </c>
      <c r="M74" s="42">
        <v>18.600000000000001</v>
      </c>
      <c r="N74" s="138">
        <f t="shared" si="7"/>
        <v>739.90000000000009</v>
      </c>
      <c r="O74" s="125">
        <v>102.9</v>
      </c>
      <c r="P74" s="109">
        <f t="shared" si="8"/>
        <v>842.80000000000007</v>
      </c>
      <c r="Q74" s="39">
        <f t="shared" si="4"/>
        <v>20.170999999999999</v>
      </c>
      <c r="R74" s="39">
        <f t="shared" si="5"/>
        <v>7.1423728813559331</v>
      </c>
      <c r="S74" s="128">
        <f t="shared" si="9"/>
        <v>0.97988826815642449</v>
      </c>
      <c r="T74" s="92">
        <f t="shared" si="10"/>
        <v>2398.7999999999997</v>
      </c>
      <c r="U74" s="85"/>
      <c r="W74" s="77"/>
    </row>
    <row r="75" spans="1:75" ht="18.75" hidden="1">
      <c r="A75" s="7" t="s">
        <v>106</v>
      </c>
      <c r="B75" s="89">
        <v>188</v>
      </c>
      <c r="C75" s="51">
        <v>967.7</v>
      </c>
      <c r="D75" s="51">
        <v>214.3</v>
      </c>
      <c r="E75" s="63">
        <v>314.3</v>
      </c>
      <c r="F75" s="63">
        <v>771.6</v>
      </c>
      <c r="G75" s="63">
        <v>94</v>
      </c>
      <c r="H75" s="64"/>
      <c r="I75" s="64"/>
      <c r="J75" s="109">
        <v>154</v>
      </c>
      <c r="K75" s="42">
        <f>861.7+66.7</f>
        <v>928.40000000000009</v>
      </c>
      <c r="L75" s="123">
        <f t="shared" si="6"/>
        <v>3444.3</v>
      </c>
      <c r="M75" s="42">
        <v>35.6</v>
      </c>
      <c r="N75" s="138">
        <f t="shared" si="7"/>
        <v>1179.9000000000001</v>
      </c>
      <c r="O75" s="125">
        <v>139</v>
      </c>
      <c r="P75" s="109">
        <f t="shared" si="8"/>
        <v>1318.9</v>
      </c>
      <c r="Q75" s="39">
        <f t="shared" si="4"/>
        <v>18.321000000000002</v>
      </c>
      <c r="R75" s="39">
        <f t="shared" si="5"/>
        <v>7.0154255319148939</v>
      </c>
      <c r="S75" s="128">
        <f t="shared" si="9"/>
        <v>0.89001700267184847</v>
      </c>
      <c r="T75" s="92">
        <f t="shared" si="10"/>
        <v>3479.9</v>
      </c>
      <c r="U75" s="85"/>
      <c r="W75" s="77"/>
    </row>
    <row r="76" spans="1:75" ht="18.75" hidden="1">
      <c r="A76" s="7" t="s">
        <v>107</v>
      </c>
      <c r="B76" s="89">
        <v>182</v>
      </c>
      <c r="C76" s="51">
        <v>967.7</v>
      </c>
      <c r="D76" s="51">
        <v>214.3</v>
      </c>
      <c r="E76" s="63">
        <v>334</v>
      </c>
      <c r="F76" s="63">
        <v>503</v>
      </c>
      <c r="G76" s="63">
        <v>99.3</v>
      </c>
      <c r="H76" s="64"/>
      <c r="I76" s="64"/>
      <c r="J76" s="109">
        <v>154</v>
      </c>
      <c r="K76" s="42">
        <f>816.2+63.2</f>
        <v>879.40000000000009</v>
      </c>
      <c r="L76" s="123">
        <f t="shared" si="6"/>
        <v>3151.7</v>
      </c>
      <c r="M76" s="42">
        <v>27.6</v>
      </c>
      <c r="N76" s="138">
        <f t="shared" si="7"/>
        <v>936.3</v>
      </c>
      <c r="O76" s="125">
        <v>129.4</v>
      </c>
      <c r="P76" s="109">
        <f t="shared" si="8"/>
        <v>1065.7</v>
      </c>
      <c r="Q76" s="39">
        <f t="shared" si="4"/>
        <v>17.317</v>
      </c>
      <c r="R76" s="39">
        <f t="shared" si="5"/>
        <v>5.855494505494506</v>
      </c>
      <c r="S76" s="128">
        <f t="shared" si="9"/>
        <v>0.84124362399805686</v>
      </c>
      <c r="T76" s="92">
        <f t="shared" si="10"/>
        <v>3179.2999999999997</v>
      </c>
      <c r="U76" s="85"/>
      <c r="W76" s="77"/>
    </row>
    <row r="77" spans="1:75" s="107" customFormat="1" ht="18.75" hidden="1">
      <c r="A77" s="120">
        <v>159</v>
      </c>
      <c r="B77" s="106">
        <v>70</v>
      </c>
      <c r="C77" s="52">
        <v>795.7</v>
      </c>
      <c r="D77" s="52">
        <v>176.2</v>
      </c>
      <c r="E77" s="65">
        <v>275.10000000000002</v>
      </c>
      <c r="F77" s="65">
        <v>488.1</v>
      </c>
      <c r="G77" s="65">
        <v>34.1</v>
      </c>
      <c r="H77" s="66"/>
      <c r="I77" s="66"/>
      <c r="J77" s="98">
        <v>150</v>
      </c>
      <c r="K77" s="44">
        <f>723.6+56</f>
        <v>779.6</v>
      </c>
      <c r="L77" s="123">
        <f t="shared" si="6"/>
        <v>2698.8</v>
      </c>
      <c r="M77" s="42">
        <v>28.5</v>
      </c>
      <c r="N77" s="138">
        <f t="shared" si="7"/>
        <v>797.30000000000007</v>
      </c>
      <c r="O77" s="125">
        <v>115.5</v>
      </c>
      <c r="P77" s="109">
        <f t="shared" si="8"/>
        <v>912.80000000000007</v>
      </c>
      <c r="Q77" s="39">
        <f t="shared" si="4"/>
        <v>38.554000000000002</v>
      </c>
      <c r="R77" s="39">
        <f t="shared" si="5"/>
        <v>13.040000000000001</v>
      </c>
      <c r="S77" s="157">
        <f t="shared" si="9"/>
        <v>1.8729171726985669</v>
      </c>
      <c r="T77" s="92">
        <f t="shared" si="10"/>
        <v>2727.3</v>
      </c>
      <c r="U77" s="85"/>
      <c r="V77" s="80"/>
      <c r="W77" s="77"/>
      <c r="X77" s="80"/>
      <c r="Y77" s="80"/>
      <c r="Z77" s="87"/>
      <c r="AA77" s="87"/>
      <c r="AB77" s="87"/>
      <c r="AC77" s="87"/>
      <c r="AD77" s="87"/>
      <c r="AE77" s="87"/>
      <c r="AF77" s="87"/>
      <c r="AG77" s="87"/>
      <c r="AH77" s="87"/>
      <c r="AI77" s="87"/>
      <c r="AJ77" s="87"/>
      <c r="AK77" s="87"/>
      <c r="AL77" s="87"/>
      <c r="AM77" s="87"/>
      <c r="AN77" s="87"/>
      <c r="AO77" s="87"/>
      <c r="AP77" s="87"/>
      <c r="AQ77" s="87"/>
      <c r="AR77" s="87"/>
      <c r="AS77" s="87"/>
      <c r="AT77" s="87"/>
      <c r="AU77" s="87"/>
      <c r="AV77" s="87"/>
      <c r="AW77" s="87"/>
      <c r="AX77" s="87"/>
      <c r="AY77" s="87"/>
      <c r="AZ77" s="87"/>
      <c r="BA77" s="87"/>
      <c r="BB77" s="87"/>
      <c r="BC77" s="87"/>
      <c r="BD77" s="87"/>
      <c r="BE77" s="87"/>
      <c r="BF77" s="87"/>
      <c r="BG77" s="87"/>
      <c r="BH77" s="87"/>
      <c r="BI77" s="87"/>
      <c r="BJ77" s="87"/>
      <c r="BK77" s="87"/>
      <c r="BL77" s="87"/>
      <c r="BM77" s="87"/>
      <c r="BN77" s="87"/>
      <c r="BO77" s="87"/>
      <c r="BP77" s="87"/>
      <c r="BQ77" s="87"/>
      <c r="BR77" s="87"/>
      <c r="BS77" s="87"/>
      <c r="BT77" s="87"/>
      <c r="BU77" s="87"/>
      <c r="BV77" s="87"/>
      <c r="BW77" s="87"/>
    </row>
    <row r="78" spans="1:75" ht="18.75" hidden="1">
      <c r="A78" s="7" t="s">
        <v>108</v>
      </c>
      <c r="B78" s="89">
        <v>195</v>
      </c>
      <c r="C78" s="51">
        <v>952.1</v>
      </c>
      <c r="D78" s="51">
        <v>210.8</v>
      </c>
      <c r="E78" s="63">
        <v>322.89999999999998</v>
      </c>
      <c r="F78" s="63">
        <v>769.8</v>
      </c>
      <c r="G78" s="63">
        <v>91.1</v>
      </c>
      <c r="H78" s="64"/>
      <c r="I78" s="64"/>
      <c r="J78" s="109">
        <v>154</v>
      </c>
      <c r="K78" s="42">
        <f>794.4+61.6</f>
        <v>856</v>
      </c>
      <c r="L78" s="123">
        <f t="shared" si="6"/>
        <v>3356.7</v>
      </c>
      <c r="M78" s="42">
        <v>39.5</v>
      </c>
      <c r="N78" s="138">
        <f t="shared" si="7"/>
        <v>1183.7999999999997</v>
      </c>
      <c r="O78" s="125">
        <v>135.80000000000001</v>
      </c>
      <c r="P78" s="109">
        <f t="shared" si="8"/>
        <v>1319.5999999999997</v>
      </c>
      <c r="Q78" s="39">
        <f t="shared" si="4"/>
        <v>17.213999999999999</v>
      </c>
      <c r="R78" s="39">
        <f t="shared" si="5"/>
        <v>6.7671794871794857</v>
      </c>
      <c r="S78" s="128">
        <f t="shared" si="9"/>
        <v>0.8362399805683749</v>
      </c>
      <c r="T78" s="92">
        <f t="shared" si="10"/>
        <v>3396.2</v>
      </c>
      <c r="U78" s="85"/>
      <c r="W78" s="77"/>
    </row>
    <row r="79" spans="1:75" s="107" customFormat="1" ht="18.75" hidden="1">
      <c r="A79" s="120">
        <v>173</v>
      </c>
      <c r="B79" s="106">
        <v>105</v>
      </c>
      <c r="C79" s="52">
        <v>905.2</v>
      </c>
      <c r="D79" s="52">
        <v>200.4</v>
      </c>
      <c r="E79" s="65">
        <v>248.9</v>
      </c>
      <c r="F79" s="65">
        <v>766.3</v>
      </c>
      <c r="G79" s="65">
        <v>61.6</v>
      </c>
      <c r="H79" s="66"/>
      <c r="I79" s="66"/>
      <c r="J79" s="98">
        <v>154</v>
      </c>
      <c r="K79" s="44">
        <f>699.9+54.2</f>
        <v>754.1</v>
      </c>
      <c r="L79" s="123">
        <f t="shared" si="6"/>
        <v>3090.5</v>
      </c>
      <c r="M79" s="42">
        <v>27.6</v>
      </c>
      <c r="N79" s="138">
        <f t="shared" si="7"/>
        <v>1076.8</v>
      </c>
      <c r="O79" s="125">
        <v>119</v>
      </c>
      <c r="P79" s="109">
        <f t="shared" si="8"/>
        <v>1195.8</v>
      </c>
      <c r="Q79" s="39">
        <f t="shared" si="4"/>
        <v>29.433</v>
      </c>
      <c r="R79" s="39">
        <f t="shared" si="5"/>
        <v>11.388571428571428</v>
      </c>
      <c r="S79" s="157">
        <f t="shared" si="9"/>
        <v>1.4298275443283943</v>
      </c>
      <c r="T79" s="92">
        <f t="shared" si="10"/>
        <v>3118.1</v>
      </c>
      <c r="U79" s="85"/>
      <c r="V79" s="80"/>
      <c r="W79" s="77"/>
      <c r="X79" s="80"/>
      <c r="Y79" s="80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</row>
    <row r="80" spans="1:75" ht="18.75" hidden="1">
      <c r="A80" s="7" t="s">
        <v>109</v>
      </c>
      <c r="B80" s="89">
        <v>166</v>
      </c>
      <c r="C80" s="51">
        <v>873.9</v>
      </c>
      <c r="D80" s="51">
        <v>193.5</v>
      </c>
      <c r="E80" s="63">
        <v>390.9</v>
      </c>
      <c r="F80" s="63">
        <v>614.79999999999995</v>
      </c>
      <c r="G80" s="63">
        <v>71.5</v>
      </c>
      <c r="H80" s="64"/>
      <c r="I80" s="64"/>
      <c r="J80" s="109">
        <v>154</v>
      </c>
      <c r="K80" s="42">
        <f>752.6+58.3</f>
        <v>810.9</v>
      </c>
      <c r="L80" s="123">
        <f t="shared" si="6"/>
        <v>3109.5</v>
      </c>
      <c r="M80" s="42">
        <v>24.2</v>
      </c>
      <c r="N80" s="138">
        <f t="shared" si="7"/>
        <v>1077.1999999999998</v>
      </c>
      <c r="O80" s="125">
        <v>124.9</v>
      </c>
      <c r="P80" s="109">
        <f t="shared" si="8"/>
        <v>1202.0999999999999</v>
      </c>
      <c r="Q80" s="39">
        <f t="shared" si="4"/>
        <v>18.731999999999999</v>
      </c>
      <c r="R80" s="39">
        <f t="shared" si="5"/>
        <v>7.2415662650602401</v>
      </c>
      <c r="S80" s="128">
        <f t="shared" si="9"/>
        <v>0.90998299732815147</v>
      </c>
      <c r="T80" s="92">
        <f t="shared" si="10"/>
        <v>3133.7</v>
      </c>
      <c r="U80" s="85"/>
      <c r="W80" s="77"/>
    </row>
    <row r="81" spans="1:75" s="107" customFormat="1" ht="18.75" hidden="1">
      <c r="A81" s="120">
        <v>201</v>
      </c>
      <c r="B81" s="106">
        <v>181</v>
      </c>
      <c r="C81" s="52">
        <v>936.4</v>
      </c>
      <c r="D81" s="52">
        <v>207.3</v>
      </c>
      <c r="E81" s="65">
        <v>343.8</v>
      </c>
      <c r="F81" s="65">
        <v>753.9</v>
      </c>
      <c r="G81" s="65">
        <v>78.5</v>
      </c>
      <c r="H81" s="66"/>
      <c r="I81" s="66"/>
      <c r="J81" s="98">
        <v>154</v>
      </c>
      <c r="K81" s="44">
        <f>856.3+66.4</f>
        <v>922.69999999999993</v>
      </c>
      <c r="L81" s="123">
        <f t="shared" si="6"/>
        <v>3396.6</v>
      </c>
      <c r="M81" s="42">
        <v>33.4</v>
      </c>
      <c r="N81" s="138">
        <f t="shared" si="7"/>
        <v>1176.2</v>
      </c>
      <c r="O81" s="125">
        <v>121.5</v>
      </c>
      <c r="P81" s="109">
        <f t="shared" si="8"/>
        <v>1297.7</v>
      </c>
      <c r="Q81" s="39">
        <f t="shared" si="4"/>
        <v>18.765999999999998</v>
      </c>
      <c r="R81" s="39">
        <f t="shared" si="5"/>
        <v>7.1696132596685089</v>
      </c>
      <c r="S81" s="128">
        <f t="shared" si="9"/>
        <v>0.91163468545057069</v>
      </c>
      <c r="T81" s="92">
        <f t="shared" si="10"/>
        <v>3430</v>
      </c>
      <c r="U81" s="85"/>
      <c r="V81" s="80"/>
      <c r="W81" s="77"/>
      <c r="X81" s="80"/>
      <c r="Y81" s="80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</row>
    <row r="82" spans="1:75" ht="18.75" hidden="1">
      <c r="A82" s="7" t="s">
        <v>110</v>
      </c>
      <c r="B82" s="89">
        <v>194</v>
      </c>
      <c r="C82" s="51">
        <v>913</v>
      </c>
      <c r="D82" s="51">
        <v>202.1</v>
      </c>
      <c r="E82" s="63">
        <v>268.5</v>
      </c>
      <c r="F82" s="63">
        <v>904.5</v>
      </c>
      <c r="G82" s="63">
        <v>86</v>
      </c>
      <c r="H82" s="64"/>
      <c r="I82" s="64"/>
      <c r="J82" s="109">
        <v>154</v>
      </c>
      <c r="K82" s="42">
        <f>843.5+65.3</f>
        <v>908.8</v>
      </c>
      <c r="L82" s="123">
        <f t="shared" si="6"/>
        <v>3436.9</v>
      </c>
      <c r="M82" s="42">
        <v>34</v>
      </c>
      <c r="N82" s="138">
        <f t="shared" si="7"/>
        <v>1259</v>
      </c>
      <c r="O82" s="125">
        <v>134.80000000000001</v>
      </c>
      <c r="P82" s="109">
        <f t="shared" si="8"/>
        <v>1393.8</v>
      </c>
      <c r="Q82" s="39">
        <f t="shared" ref="Q82:Q145" si="11">ROUND(L82/B82,3)</f>
        <v>17.716000000000001</v>
      </c>
      <c r="R82" s="39">
        <f t="shared" ref="R82:R145" si="12">P82/B82</f>
        <v>7.1845360824742261</v>
      </c>
      <c r="S82" s="128">
        <f t="shared" si="9"/>
        <v>0.86062666990527081</v>
      </c>
      <c r="T82" s="92">
        <f t="shared" si="10"/>
        <v>3470.9</v>
      </c>
      <c r="U82" s="85"/>
      <c r="W82" s="77"/>
    </row>
    <row r="83" spans="1:75" ht="18.75" hidden="1">
      <c r="A83" s="7" t="s">
        <v>111</v>
      </c>
      <c r="B83" s="89">
        <v>191</v>
      </c>
      <c r="C83" s="51">
        <v>959.9</v>
      </c>
      <c r="D83" s="51">
        <v>212.5</v>
      </c>
      <c r="E83" s="63">
        <v>406</v>
      </c>
      <c r="F83" s="63">
        <v>908.1</v>
      </c>
      <c r="G83" s="63">
        <v>108.9</v>
      </c>
      <c r="H83" s="64"/>
      <c r="I83" s="64"/>
      <c r="J83" s="109">
        <v>154</v>
      </c>
      <c r="K83" s="42">
        <f>923.5+71.6</f>
        <v>995.1</v>
      </c>
      <c r="L83" s="123">
        <f t="shared" ref="L83:L146" si="13">ROUND(C83+D83+H83+J83+K83+F83+G83+E83,1)</f>
        <v>3744.5</v>
      </c>
      <c r="M83" s="42">
        <v>31.9</v>
      </c>
      <c r="N83" s="138">
        <f t="shared" ref="N83:N146" si="14">E83+F83+G83+H83+I83</f>
        <v>1423</v>
      </c>
      <c r="O83" s="125">
        <v>84.1</v>
      </c>
      <c r="P83" s="109">
        <f t="shared" ref="P83:P146" si="15">N83+O83</f>
        <v>1507.1</v>
      </c>
      <c r="Q83" s="39">
        <f t="shared" si="11"/>
        <v>19.605</v>
      </c>
      <c r="R83" s="39">
        <f t="shared" si="12"/>
        <v>7.8905759162303664</v>
      </c>
      <c r="S83" s="128">
        <f t="shared" ref="S83:S146" si="16">Q83/20.585</f>
        <v>0.95239251882438669</v>
      </c>
      <c r="T83" s="92">
        <f t="shared" ref="T83:T146" si="17">L83+M83</f>
        <v>3776.4</v>
      </c>
      <c r="U83" s="85"/>
      <c r="W83" s="77"/>
    </row>
    <row r="84" spans="1:75" ht="18.75" hidden="1">
      <c r="A84" s="7" t="s">
        <v>112</v>
      </c>
      <c r="B84" s="89">
        <v>235</v>
      </c>
      <c r="C84" s="51">
        <v>1038.0999999999999</v>
      </c>
      <c r="D84" s="51">
        <v>229.8</v>
      </c>
      <c r="E84" s="63">
        <v>543.6</v>
      </c>
      <c r="F84" s="63">
        <v>520.29999999999995</v>
      </c>
      <c r="G84" s="63">
        <v>99.3</v>
      </c>
      <c r="H84" s="64"/>
      <c r="I84" s="64"/>
      <c r="J84" s="109">
        <v>154</v>
      </c>
      <c r="K84" s="42">
        <f>950.7+73.7</f>
        <v>1024.4000000000001</v>
      </c>
      <c r="L84" s="123">
        <f t="shared" si="13"/>
        <v>3609.5</v>
      </c>
      <c r="M84" s="42">
        <v>32</v>
      </c>
      <c r="N84" s="138">
        <f t="shared" si="14"/>
        <v>1163.2</v>
      </c>
      <c r="O84" s="125">
        <v>119.2</v>
      </c>
      <c r="P84" s="109">
        <f t="shared" si="15"/>
        <v>1282.4000000000001</v>
      </c>
      <c r="Q84" s="39">
        <f t="shared" si="11"/>
        <v>15.36</v>
      </c>
      <c r="R84" s="39">
        <f t="shared" si="12"/>
        <v>5.4570212765957447</v>
      </c>
      <c r="S84" s="128">
        <f t="shared" si="16"/>
        <v>0.74617439883410241</v>
      </c>
      <c r="T84" s="92">
        <f t="shared" si="17"/>
        <v>3641.5</v>
      </c>
      <c r="U84" s="85"/>
      <c r="W84" s="77"/>
    </row>
    <row r="85" spans="1:75" ht="18.75" hidden="1">
      <c r="A85" s="7" t="s">
        <v>113</v>
      </c>
      <c r="B85" s="89">
        <v>157</v>
      </c>
      <c r="C85" s="51">
        <v>858.3</v>
      </c>
      <c r="D85" s="51">
        <v>190</v>
      </c>
      <c r="E85" s="63">
        <v>360.2</v>
      </c>
      <c r="F85" s="63">
        <v>437.5</v>
      </c>
      <c r="G85" s="63">
        <v>24.1</v>
      </c>
      <c r="H85" s="64"/>
      <c r="I85" s="64">
        <v>67.599999999999994</v>
      </c>
      <c r="J85" s="109">
        <v>150</v>
      </c>
      <c r="K85" s="42">
        <f>665.4+51.6</f>
        <v>717</v>
      </c>
      <c r="L85" s="123">
        <f>ROUND(C85+D85+H85+J85+K85+F85+G85+E85+I85,1)</f>
        <v>2804.7</v>
      </c>
      <c r="M85" s="42">
        <v>60.4</v>
      </c>
      <c r="N85" s="138">
        <f t="shared" si="14"/>
        <v>889.40000000000009</v>
      </c>
      <c r="O85" s="125">
        <v>90.6</v>
      </c>
      <c r="P85" s="109">
        <f t="shared" si="15"/>
        <v>980.00000000000011</v>
      </c>
      <c r="Q85" s="39">
        <f t="shared" si="11"/>
        <v>17.864000000000001</v>
      </c>
      <c r="R85" s="39">
        <f t="shared" si="12"/>
        <v>6.2420382165605099</v>
      </c>
      <c r="S85" s="128">
        <f t="shared" si="16"/>
        <v>0.86781637114403687</v>
      </c>
      <c r="T85" s="92">
        <f t="shared" si="17"/>
        <v>2865.1</v>
      </c>
      <c r="U85" s="85"/>
      <c r="W85" s="77"/>
    </row>
    <row r="86" spans="1:75" ht="18.75" hidden="1">
      <c r="A86" s="7" t="s">
        <v>114</v>
      </c>
      <c r="B86" s="89">
        <v>123</v>
      </c>
      <c r="C86" s="51">
        <v>772.3</v>
      </c>
      <c r="D86" s="51">
        <v>171</v>
      </c>
      <c r="E86" s="63">
        <v>216.1</v>
      </c>
      <c r="F86" s="63">
        <v>218.7</v>
      </c>
      <c r="G86" s="63">
        <v>33.299999999999997</v>
      </c>
      <c r="H86" s="64"/>
      <c r="I86" s="64"/>
      <c r="J86" s="109">
        <v>130</v>
      </c>
      <c r="K86" s="42">
        <f>472.7+36.6</f>
        <v>509.3</v>
      </c>
      <c r="L86" s="123">
        <f t="shared" si="13"/>
        <v>2050.6999999999998</v>
      </c>
      <c r="M86" s="42">
        <v>17</v>
      </c>
      <c r="N86" s="138">
        <f t="shared" si="14"/>
        <v>468.09999999999997</v>
      </c>
      <c r="O86" s="125">
        <v>80.099999999999994</v>
      </c>
      <c r="P86" s="109">
        <f t="shared" si="15"/>
        <v>548.19999999999993</v>
      </c>
      <c r="Q86" s="39">
        <f t="shared" si="11"/>
        <v>16.672000000000001</v>
      </c>
      <c r="R86" s="39">
        <f t="shared" si="12"/>
        <v>4.4569105691056903</v>
      </c>
      <c r="S86" s="128">
        <f t="shared" si="16"/>
        <v>0.8099101287345154</v>
      </c>
      <c r="T86" s="92">
        <f t="shared" si="17"/>
        <v>2067.6999999999998</v>
      </c>
      <c r="U86" s="85"/>
      <c r="W86" s="77"/>
    </row>
    <row r="87" spans="1:75" ht="18.75" hidden="1">
      <c r="A87" s="7" t="s">
        <v>115</v>
      </c>
      <c r="B87" s="89">
        <v>225</v>
      </c>
      <c r="C87" s="6">
        <v>1038.0999999999999</v>
      </c>
      <c r="D87" s="110">
        <v>229.8</v>
      </c>
      <c r="E87" s="67">
        <v>379.9</v>
      </c>
      <c r="F87" s="64">
        <v>766.5</v>
      </c>
      <c r="G87" s="64">
        <v>79</v>
      </c>
      <c r="H87" s="64"/>
      <c r="I87" s="64"/>
      <c r="J87" s="109">
        <v>154</v>
      </c>
      <c r="K87" s="42">
        <f>1118+86.6</f>
        <v>1204.5999999999999</v>
      </c>
      <c r="L87" s="123">
        <f t="shared" si="13"/>
        <v>3851.9</v>
      </c>
      <c r="M87" s="42">
        <v>36.700000000000003</v>
      </c>
      <c r="N87" s="138">
        <f t="shared" si="14"/>
        <v>1225.4000000000001</v>
      </c>
      <c r="O87" s="125">
        <v>111.7</v>
      </c>
      <c r="P87" s="109">
        <f t="shared" si="15"/>
        <v>1337.1000000000001</v>
      </c>
      <c r="Q87" s="39">
        <f t="shared" si="11"/>
        <v>17.12</v>
      </c>
      <c r="R87" s="39">
        <f t="shared" si="12"/>
        <v>5.9426666666666677</v>
      </c>
      <c r="S87" s="128">
        <f t="shared" si="16"/>
        <v>0.83167354870051013</v>
      </c>
      <c r="T87" s="92">
        <f t="shared" si="17"/>
        <v>3888.6</v>
      </c>
      <c r="U87" s="85"/>
      <c r="W87" s="77"/>
    </row>
    <row r="88" spans="1:75" s="107" customFormat="1" ht="18.75" hidden="1">
      <c r="A88" s="120">
        <v>6</v>
      </c>
      <c r="B88" s="106">
        <v>189</v>
      </c>
      <c r="C88" s="97">
        <v>1700.9</v>
      </c>
      <c r="D88" s="99">
        <v>376.6</v>
      </c>
      <c r="E88" s="68">
        <v>508.4</v>
      </c>
      <c r="F88" s="66">
        <v>1385.6</v>
      </c>
      <c r="G88" s="66">
        <v>165.6</v>
      </c>
      <c r="H88" s="66"/>
      <c r="I88" s="66"/>
      <c r="J88" s="98">
        <v>217</v>
      </c>
      <c r="K88" s="44">
        <f>1487+115.1</f>
        <v>1602.1</v>
      </c>
      <c r="L88" s="123">
        <f t="shared" si="13"/>
        <v>5956.2</v>
      </c>
      <c r="M88" s="42">
        <v>62.6</v>
      </c>
      <c r="N88" s="138">
        <f t="shared" si="14"/>
        <v>2059.6</v>
      </c>
      <c r="O88" s="125">
        <v>171.6</v>
      </c>
      <c r="P88" s="109">
        <f t="shared" si="15"/>
        <v>2231.1999999999998</v>
      </c>
      <c r="Q88" s="39">
        <f t="shared" si="11"/>
        <v>31.513999999999999</v>
      </c>
      <c r="R88" s="39">
        <f t="shared" si="12"/>
        <v>11.805291005291004</v>
      </c>
      <c r="S88" s="157">
        <f t="shared" si="16"/>
        <v>1.5309205732329365</v>
      </c>
      <c r="T88" s="92">
        <f t="shared" si="17"/>
        <v>6018.8</v>
      </c>
      <c r="U88" s="85"/>
      <c r="V88" s="80"/>
      <c r="W88" s="77"/>
      <c r="X88" s="80"/>
      <c r="Y88" s="80"/>
      <c r="Z88" s="87"/>
      <c r="AA88" s="87"/>
      <c r="AB88" s="87"/>
      <c r="AC88" s="87"/>
      <c r="AD88" s="87"/>
      <c r="AE88" s="87"/>
      <c r="AF88" s="87"/>
      <c r="AG88" s="87"/>
      <c r="AH88" s="87"/>
      <c r="AI88" s="87"/>
      <c r="AJ88" s="87"/>
      <c r="AK88" s="87"/>
      <c r="AL88" s="87"/>
      <c r="AM88" s="87"/>
      <c r="AN88" s="87"/>
      <c r="AO88" s="87"/>
      <c r="AP88" s="87"/>
      <c r="AQ88" s="87"/>
      <c r="AR88" s="87"/>
      <c r="AS88" s="87"/>
      <c r="AT88" s="87"/>
      <c r="AU88" s="87"/>
      <c r="AV88" s="87"/>
      <c r="AW88" s="87"/>
      <c r="AX88" s="87"/>
      <c r="AY88" s="87"/>
      <c r="AZ88" s="87"/>
      <c r="BA88" s="87"/>
      <c r="BB88" s="87"/>
      <c r="BC88" s="87"/>
      <c r="BD88" s="87"/>
      <c r="BE88" s="87"/>
      <c r="BF88" s="87"/>
      <c r="BG88" s="87"/>
      <c r="BH88" s="87"/>
      <c r="BI88" s="87"/>
      <c r="BJ88" s="87"/>
      <c r="BK88" s="87"/>
      <c r="BL88" s="87"/>
      <c r="BM88" s="87"/>
      <c r="BN88" s="87"/>
      <c r="BO88" s="87"/>
      <c r="BP88" s="87"/>
      <c r="BQ88" s="87"/>
      <c r="BR88" s="87"/>
      <c r="BS88" s="87"/>
      <c r="BT88" s="87"/>
      <c r="BU88" s="87"/>
      <c r="BV88" s="87"/>
      <c r="BW88" s="87"/>
    </row>
    <row r="89" spans="1:75" ht="18.75" hidden="1">
      <c r="A89" s="7" t="s">
        <v>116</v>
      </c>
      <c r="B89" s="89">
        <v>190</v>
      </c>
      <c r="C89" s="6">
        <v>881.7</v>
      </c>
      <c r="D89" s="110">
        <v>195.2</v>
      </c>
      <c r="E89" s="67">
        <v>471.5</v>
      </c>
      <c r="F89" s="64">
        <v>523.1</v>
      </c>
      <c r="G89" s="64">
        <v>66</v>
      </c>
      <c r="H89" s="64"/>
      <c r="I89" s="64"/>
      <c r="J89" s="109">
        <v>154</v>
      </c>
      <c r="K89" s="42">
        <f>1012.5+78.4</f>
        <v>1090.9000000000001</v>
      </c>
      <c r="L89" s="123">
        <f t="shared" si="13"/>
        <v>3382.4</v>
      </c>
      <c r="M89" s="42">
        <v>25.3</v>
      </c>
      <c r="N89" s="138">
        <f t="shared" si="14"/>
        <v>1060.5999999999999</v>
      </c>
      <c r="O89" s="125">
        <v>89.8</v>
      </c>
      <c r="P89" s="109">
        <f t="shared" si="15"/>
        <v>1150.3999999999999</v>
      </c>
      <c r="Q89" s="39">
        <f t="shared" si="11"/>
        <v>17.802</v>
      </c>
      <c r="R89" s="39">
        <f t="shared" si="12"/>
        <v>6.0547368421052621</v>
      </c>
      <c r="S89" s="128">
        <f t="shared" si="16"/>
        <v>0.86480446927374299</v>
      </c>
      <c r="T89" s="92">
        <f t="shared" si="17"/>
        <v>3407.7000000000003</v>
      </c>
      <c r="U89" s="85"/>
      <c r="W89" s="77"/>
    </row>
    <row r="90" spans="1:75" ht="18.75" hidden="1">
      <c r="A90" s="7" t="s">
        <v>117</v>
      </c>
      <c r="B90" s="89">
        <v>170</v>
      </c>
      <c r="C90" s="6">
        <v>873.9</v>
      </c>
      <c r="D90" s="110">
        <v>193.5</v>
      </c>
      <c r="E90" s="67">
        <v>442</v>
      </c>
      <c r="F90" s="64">
        <v>346.9</v>
      </c>
      <c r="G90" s="64">
        <v>67.2</v>
      </c>
      <c r="H90" s="64"/>
      <c r="I90" s="64"/>
      <c r="J90" s="109">
        <v>154</v>
      </c>
      <c r="K90" s="42">
        <f>756.3+58.6</f>
        <v>814.9</v>
      </c>
      <c r="L90" s="123">
        <f t="shared" si="13"/>
        <v>2892.4</v>
      </c>
      <c r="M90" s="42">
        <v>24.8</v>
      </c>
      <c r="N90" s="138">
        <f t="shared" si="14"/>
        <v>856.1</v>
      </c>
      <c r="O90" s="125">
        <v>101.5</v>
      </c>
      <c r="P90" s="109">
        <f t="shared" si="15"/>
        <v>957.6</v>
      </c>
      <c r="Q90" s="39">
        <f t="shared" si="11"/>
        <v>17.013999999999999</v>
      </c>
      <c r="R90" s="39">
        <f t="shared" si="12"/>
        <v>5.6329411764705881</v>
      </c>
      <c r="S90" s="128">
        <f t="shared" si="16"/>
        <v>0.82652416808355589</v>
      </c>
      <c r="T90" s="92">
        <f t="shared" si="17"/>
        <v>2917.2000000000003</v>
      </c>
      <c r="U90" s="85"/>
      <c r="W90" s="77"/>
    </row>
    <row r="91" spans="1:75" ht="18.75" hidden="1">
      <c r="A91" s="7" t="s">
        <v>118</v>
      </c>
      <c r="B91" s="89">
        <v>153</v>
      </c>
      <c r="C91" s="6">
        <v>670.7</v>
      </c>
      <c r="D91" s="110">
        <v>148.5</v>
      </c>
      <c r="E91" s="67">
        <v>278.3</v>
      </c>
      <c r="F91" s="64">
        <v>312.2</v>
      </c>
      <c r="G91" s="64">
        <v>32.5</v>
      </c>
      <c r="H91" s="64"/>
      <c r="I91" s="64"/>
      <c r="J91" s="109">
        <v>150</v>
      </c>
      <c r="K91" s="42">
        <f>723.6+56</f>
        <v>779.6</v>
      </c>
      <c r="L91" s="123">
        <f t="shared" si="13"/>
        <v>2371.8000000000002</v>
      </c>
      <c r="M91" s="42">
        <v>34.9</v>
      </c>
      <c r="N91" s="138">
        <f t="shared" si="14"/>
        <v>623</v>
      </c>
      <c r="O91" s="125">
        <v>106.6</v>
      </c>
      <c r="P91" s="109">
        <f t="shared" si="15"/>
        <v>729.6</v>
      </c>
      <c r="Q91" s="39">
        <f t="shared" si="11"/>
        <v>15.502000000000001</v>
      </c>
      <c r="R91" s="39">
        <f t="shared" si="12"/>
        <v>4.7686274509803921</v>
      </c>
      <c r="S91" s="128">
        <f t="shared" si="16"/>
        <v>0.75307262569832401</v>
      </c>
      <c r="T91" s="92">
        <f t="shared" si="17"/>
        <v>2406.7000000000003</v>
      </c>
      <c r="U91" s="85"/>
      <c r="W91" s="77"/>
    </row>
    <row r="92" spans="1:75" ht="18.75" hidden="1">
      <c r="A92" s="7" t="s">
        <v>119</v>
      </c>
      <c r="B92" s="89">
        <v>235</v>
      </c>
      <c r="C92" s="6">
        <v>1038.0999999999999</v>
      </c>
      <c r="D92" s="110">
        <v>229.8</v>
      </c>
      <c r="E92" s="67">
        <v>239</v>
      </c>
      <c r="F92" s="64">
        <v>724.3</v>
      </c>
      <c r="G92" s="64">
        <v>109</v>
      </c>
      <c r="H92" s="64"/>
      <c r="I92" s="64"/>
      <c r="J92" s="109">
        <v>154</v>
      </c>
      <c r="K92" s="42">
        <f>1101.6+85.3</f>
        <v>1186.8999999999999</v>
      </c>
      <c r="L92" s="123">
        <f t="shared" si="13"/>
        <v>3681.1</v>
      </c>
      <c r="M92" s="42">
        <v>34</v>
      </c>
      <c r="N92" s="138">
        <f t="shared" si="14"/>
        <v>1072.3</v>
      </c>
      <c r="O92" s="125">
        <v>114.3</v>
      </c>
      <c r="P92" s="109">
        <f t="shared" si="15"/>
        <v>1186.5999999999999</v>
      </c>
      <c r="Q92" s="39">
        <f t="shared" si="11"/>
        <v>15.664</v>
      </c>
      <c r="R92" s="39">
        <f t="shared" si="12"/>
        <v>5.0493617021276593</v>
      </c>
      <c r="S92" s="128">
        <f t="shared" si="16"/>
        <v>0.76094243381102744</v>
      </c>
      <c r="T92" s="92">
        <f t="shared" si="17"/>
        <v>3715.1</v>
      </c>
      <c r="U92" s="85"/>
      <c r="W92" s="77"/>
    </row>
    <row r="93" spans="1:75" s="107" customFormat="1" ht="18.75" hidden="1">
      <c r="A93" s="120">
        <v>50</v>
      </c>
      <c r="B93" s="106">
        <v>269</v>
      </c>
      <c r="C93" s="97">
        <v>1489.9</v>
      </c>
      <c r="D93" s="99">
        <v>329.9</v>
      </c>
      <c r="E93" s="68">
        <v>548.79999999999995</v>
      </c>
      <c r="F93" s="66">
        <v>780</v>
      </c>
      <c r="G93" s="66">
        <v>102.9</v>
      </c>
      <c r="H93" s="66">
        <v>27.6</v>
      </c>
      <c r="I93" s="66"/>
      <c r="J93" s="98">
        <v>203</v>
      </c>
      <c r="K93" s="44">
        <f>1229+95.1</f>
        <v>1324.1</v>
      </c>
      <c r="L93" s="123">
        <f t="shared" si="13"/>
        <v>4806.2</v>
      </c>
      <c r="M93" s="42">
        <v>42.4</v>
      </c>
      <c r="N93" s="138">
        <f t="shared" si="14"/>
        <v>1459.3</v>
      </c>
      <c r="O93" s="125">
        <v>165</v>
      </c>
      <c r="P93" s="109">
        <f t="shared" si="15"/>
        <v>1624.3</v>
      </c>
      <c r="Q93" s="39">
        <f t="shared" si="11"/>
        <v>17.867000000000001</v>
      </c>
      <c r="R93" s="39">
        <f t="shared" si="12"/>
        <v>6.0382899628252789</v>
      </c>
      <c r="S93" s="128">
        <f t="shared" si="16"/>
        <v>0.86796210833130927</v>
      </c>
      <c r="T93" s="92">
        <f t="shared" si="17"/>
        <v>4848.5999999999995</v>
      </c>
      <c r="U93" s="85"/>
      <c r="V93" s="80"/>
      <c r="W93" s="77"/>
      <c r="X93" s="80"/>
      <c r="Y93" s="80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87"/>
      <c r="BN93" s="87"/>
      <c r="BO93" s="87"/>
      <c r="BP93" s="87"/>
      <c r="BQ93" s="87"/>
      <c r="BR93" s="87"/>
      <c r="BS93" s="87"/>
      <c r="BT93" s="87"/>
      <c r="BU93" s="87"/>
      <c r="BV93" s="87"/>
      <c r="BW93" s="87"/>
    </row>
    <row r="94" spans="1:75" ht="18.75" hidden="1">
      <c r="A94" s="7" t="s">
        <v>120</v>
      </c>
      <c r="B94" s="89">
        <v>191</v>
      </c>
      <c r="C94" s="6">
        <v>928.6</v>
      </c>
      <c r="D94" s="110">
        <v>205.6</v>
      </c>
      <c r="E94" s="67">
        <v>630.79999999999995</v>
      </c>
      <c r="F94" s="64">
        <v>381.6</v>
      </c>
      <c r="G94" s="64">
        <v>68.400000000000006</v>
      </c>
      <c r="H94" s="64"/>
      <c r="I94" s="64"/>
      <c r="J94" s="109">
        <v>154</v>
      </c>
      <c r="K94" s="42">
        <f>874.4+67.8</f>
        <v>942.19999999999993</v>
      </c>
      <c r="L94" s="123">
        <f t="shared" si="13"/>
        <v>3311.2</v>
      </c>
      <c r="M94" s="42">
        <v>25.7</v>
      </c>
      <c r="N94" s="138">
        <f t="shared" si="14"/>
        <v>1080.8</v>
      </c>
      <c r="O94" s="125">
        <v>116.1</v>
      </c>
      <c r="P94" s="109">
        <f t="shared" si="15"/>
        <v>1196.8999999999999</v>
      </c>
      <c r="Q94" s="39">
        <f t="shared" si="11"/>
        <v>17.335999999999999</v>
      </c>
      <c r="R94" s="39">
        <f t="shared" si="12"/>
        <v>6.2664921465968577</v>
      </c>
      <c r="S94" s="128">
        <f t="shared" si="16"/>
        <v>0.84216662618411453</v>
      </c>
      <c r="T94" s="92">
        <f t="shared" si="17"/>
        <v>3336.8999999999996</v>
      </c>
      <c r="U94" s="85"/>
      <c r="W94" s="77"/>
    </row>
    <row r="95" spans="1:75" ht="18.75" hidden="1">
      <c r="A95" s="7" t="s">
        <v>121</v>
      </c>
      <c r="B95" s="89">
        <v>201</v>
      </c>
      <c r="C95" s="6">
        <v>1030.3</v>
      </c>
      <c r="D95" s="110">
        <v>228.1</v>
      </c>
      <c r="E95" s="67">
        <v>456</v>
      </c>
      <c r="F95" s="64">
        <v>312.2</v>
      </c>
      <c r="G95" s="64">
        <v>83</v>
      </c>
      <c r="H95" s="64"/>
      <c r="I95" s="64"/>
      <c r="J95" s="109">
        <v>154</v>
      </c>
      <c r="K95" s="42">
        <f>952.6+73.7</f>
        <v>1026.3</v>
      </c>
      <c r="L95" s="123">
        <f t="shared" si="13"/>
        <v>3289.9</v>
      </c>
      <c r="M95" s="42">
        <v>30.4</v>
      </c>
      <c r="N95" s="138">
        <f t="shared" si="14"/>
        <v>851.2</v>
      </c>
      <c r="O95" s="125">
        <v>109.4</v>
      </c>
      <c r="P95" s="109">
        <f t="shared" si="15"/>
        <v>960.6</v>
      </c>
      <c r="Q95" s="39">
        <f t="shared" si="11"/>
        <v>16.367999999999999</v>
      </c>
      <c r="R95" s="39">
        <f t="shared" si="12"/>
        <v>4.7791044776119405</v>
      </c>
      <c r="S95" s="128">
        <f t="shared" si="16"/>
        <v>0.79514209375759037</v>
      </c>
      <c r="T95" s="92">
        <f t="shared" si="17"/>
        <v>3320.3</v>
      </c>
      <c r="U95" s="85"/>
      <c r="W95" s="77"/>
    </row>
    <row r="96" spans="1:75" s="107" customFormat="1" ht="18.75" hidden="1">
      <c r="A96" s="120">
        <v>91</v>
      </c>
      <c r="B96" s="106">
        <v>243</v>
      </c>
      <c r="C96" s="97">
        <v>1411.7</v>
      </c>
      <c r="D96" s="99">
        <v>312.60000000000002</v>
      </c>
      <c r="E96" s="68">
        <v>465</v>
      </c>
      <c r="F96" s="66">
        <f>709.1+91.9</f>
        <v>801</v>
      </c>
      <c r="G96" s="66">
        <v>72</v>
      </c>
      <c r="H96" s="66"/>
      <c r="I96" s="66"/>
      <c r="J96" s="98">
        <v>208</v>
      </c>
      <c r="K96" s="44">
        <f>1196.2+92.5</f>
        <v>1288.7</v>
      </c>
      <c r="L96" s="123">
        <f t="shared" si="13"/>
        <v>4559</v>
      </c>
      <c r="M96" s="42">
        <v>52.1</v>
      </c>
      <c r="N96" s="138">
        <f t="shared" si="14"/>
        <v>1338</v>
      </c>
      <c r="O96" s="125">
        <v>177.4</v>
      </c>
      <c r="P96" s="109">
        <f t="shared" si="15"/>
        <v>1515.4</v>
      </c>
      <c r="Q96" s="39">
        <f t="shared" si="11"/>
        <v>18.760999999999999</v>
      </c>
      <c r="R96" s="39">
        <f t="shared" si="12"/>
        <v>6.2362139917695476</v>
      </c>
      <c r="S96" s="128">
        <f t="shared" si="16"/>
        <v>0.91139179013845029</v>
      </c>
      <c r="T96" s="92">
        <f t="shared" si="17"/>
        <v>4611.1000000000004</v>
      </c>
      <c r="U96" s="85"/>
      <c r="V96" s="80"/>
      <c r="W96" s="77"/>
      <c r="X96" s="80"/>
      <c r="Y96" s="80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7"/>
      <c r="BR96" s="87"/>
      <c r="BS96" s="87"/>
      <c r="BT96" s="87"/>
      <c r="BU96" s="87"/>
      <c r="BV96" s="87"/>
      <c r="BW96" s="87"/>
    </row>
    <row r="97" spans="1:75" ht="18.75" hidden="1">
      <c r="A97" s="7" t="s">
        <v>122</v>
      </c>
      <c r="B97" s="89">
        <v>182</v>
      </c>
      <c r="C97" s="6">
        <v>873.9</v>
      </c>
      <c r="D97" s="110">
        <v>193.5</v>
      </c>
      <c r="E97" s="67">
        <v>350.4</v>
      </c>
      <c r="F97" s="64">
        <v>530</v>
      </c>
      <c r="G97" s="64">
        <v>138.6</v>
      </c>
      <c r="H97" s="64"/>
      <c r="I97" s="64"/>
      <c r="J97" s="109">
        <v>154</v>
      </c>
      <c r="K97" s="42">
        <f>761.7+59</f>
        <v>820.7</v>
      </c>
      <c r="L97" s="123">
        <f t="shared" si="13"/>
        <v>3061.1</v>
      </c>
      <c r="M97" s="42">
        <v>45.6</v>
      </c>
      <c r="N97" s="138">
        <f t="shared" si="14"/>
        <v>1019</v>
      </c>
      <c r="O97" s="125">
        <v>125</v>
      </c>
      <c r="P97" s="109">
        <f t="shared" si="15"/>
        <v>1144</v>
      </c>
      <c r="Q97" s="39">
        <f t="shared" si="11"/>
        <v>16.818999999999999</v>
      </c>
      <c r="R97" s="39">
        <f t="shared" si="12"/>
        <v>6.2857142857142856</v>
      </c>
      <c r="S97" s="128">
        <f t="shared" si="16"/>
        <v>0.8170512509108574</v>
      </c>
      <c r="T97" s="92">
        <f t="shared" si="17"/>
        <v>3106.7</v>
      </c>
      <c r="U97" s="85"/>
      <c r="W97" s="77"/>
    </row>
    <row r="98" spans="1:75" ht="18.75" hidden="1">
      <c r="A98" s="7" t="s">
        <v>123</v>
      </c>
      <c r="B98" s="89">
        <v>495</v>
      </c>
      <c r="C98" s="6">
        <v>1810.4</v>
      </c>
      <c r="D98" s="110">
        <v>400.8</v>
      </c>
      <c r="E98" s="67">
        <v>723.7</v>
      </c>
      <c r="F98" s="64">
        <v>1812.6</v>
      </c>
      <c r="G98" s="64">
        <v>235.6</v>
      </c>
      <c r="H98" s="64"/>
      <c r="I98" s="64"/>
      <c r="J98" s="109">
        <v>259.60000000000002</v>
      </c>
      <c r="K98" s="42">
        <f>2303.3+178.3</f>
        <v>2481.6000000000004</v>
      </c>
      <c r="L98" s="123">
        <f t="shared" si="13"/>
        <v>7724.3</v>
      </c>
      <c r="M98" s="42">
        <v>76.7</v>
      </c>
      <c r="N98" s="138">
        <f t="shared" si="14"/>
        <v>2771.9</v>
      </c>
      <c r="O98" s="125">
        <v>189.7</v>
      </c>
      <c r="P98" s="109">
        <f t="shared" si="15"/>
        <v>2961.6</v>
      </c>
      <c r="Q98" s="39">
        <f t="shared" si="11"/>
        <v>15.605</v>
      </c>
      <c r="R98" s="39">
        <f t="shared" si="12"/>
        <v>5.9830303030303025</v>
      </c>
      <c r="S98" s="128">
        <f t="shared" si="16"/>
        <v>0.75807626912800585</v>
      </c>
      <c r="T98" s="92">
        <f t="shared" si="17"/>
        <v>7801</v>
      </c>
      <c r="U98" s="85"/>
      <c r="W98" s="77"/>
    </row>
    <row r="99" spans="1:75" ht="18.75" hidden="1">
      <c r="A99" s="7" t="s">
        <v>124</v>
      </c>
      <c r="B99" s="89">
        <v>185</v>
      </c>
      <c r="C99" s="6">
        <v>905.2</v>
      </c>
      <c r="D99" s="110">
        <v>200.4</v>
      </c>
      <c r="E99" s="67">
        <v>615.6</v>
      </c>
      <c r="F99" s="64">
        <v>468.3</v>
      </c>
      <c r="G99" s="64">
        <v>70.900000000000006</v>
      </c>
      <c r="H99" s="64"/>
      <c r="I99" s="64"/>
      <c r="J99" s="109">
        <v>154</v>
      </c>
      <c r="K99" s="42">
        <f>790.7+61.3</f>
        <v>852</v>
      </c>
      <c r="L99" s="123">
        <f t="shared" si="13"/>
        <v>3266.4</v>
      </c>
      <c r="M99" s="42">
        <v>26.2</v>
      </c>
      <c r="N99" s="138">
        <f t="shared" si="14"/>
        <v>1154.8000000000002</v>
      </c>
      <c r="O99" s="125">
        <v>126</v>
      </c>
      <c r="P99" s="109">
        <f t="shared" si="15"/>
        <v>1280.8000000000002</v>
      </c>
      <c r="Q99" s="39">
        <f t="shared" si="11"/>
        <v>17.655999999999999</v>
      </c>
      <c r="R99" s="39">
        <f t="shared" si="12"/>
        <v>6.9232432432432445</v>
      </c>
      <c r="S99" s="128">
        <f t="shared" si="16"/>
        <v>0.85771192615982506</v>
      </c>
      <c r="T99" s="92">
        <f t="shared" si="17"/>
        <v>3292.6</v>
      </c>
      <c r="U99" s="85"/>
      <c r="W99" s="77"/>
    </row>
    <row r="100" spans="1:75" ht="18.75" hidden="1">
      <c r="A100" s="7" t="s">
        <v>125</v>
      </c>
      <c r="B100" s="89">
        <v>197</v>
      </c>
      <c r="C100" s="6">
        <v>952.1</v>
      </c>
      <c r="D100" s="110">
        <v>210.8</v>
      </c>
      <c r="E100" s="67">
        <v>523.9</v>
      </c>
      <c r="F100" s="64">
        <v>398.9</v>
      </c>
      <c r="G100" s="64">
        <v>70.900000000000006</v>
      </c>
      <c r="H100" s="64"/>
      <c r="I100" s="64"/>
      <c r="J100" s="109">
        <v>154</v>
      </c>
      <c r="K100" s="42">
        <f>1032.5+80</f>
        <v>1112.5</v>
      </c>
      <c r="L100" s="123">
        <f t="shared" si="13"/>
        <v>3423.1</v>
      </c>
      <c r="M100" s="42">
        <v>25.2</v>
      </c>
      <c r="N100" s="138">
        <f t="shared" si="14"/>
        <v>993.69999999999993</v>
      </c>
      <c r="O100" s="125">
        <v>117.8</v>
      </c>
      <c r="P100" s="109">
        <f t="shared" si="15"/>
        <v>1111.5</v>
      </c>
      <c r="Q100" s="39">
        <f t="shared" si="11"/>
        <v>17.376000000000001</v>
      </c>
      <c r="R100" s="39">
        <f t="shared" si="12"/>
        <v>5.6421319796954315</v>
      </c>
      <c r="S100" s="128">
        <f t="shared" si="16"/>
        <v>0.84410978868107844</v>
      </c>
      <c r="T100" s="92">
        <f t="shared" si="17"/>
        <v>3448.2999999999997</v>
      </c>
      <c r="U100" s="85"/>
      <c r="W100" s="77"/>
    </row>
    <row r="101" spans="1:75" ht="18.75" hidden="1">
      <c r="A101" s="7" t="s">
        <v>126</v>
      </c>
      <c r="B101" s="89">
        <v>417</v>
      </c>
      <c r="C101" s="6">
        <v>1724.4</v>
      </c>
      <c r="D101" s="110">
        <v>381.8</v>
      </c>
      <c r="E101" s="67">
        <v>607.5</v>
      </c>
      <c r="F101" s="64">
        <v>1419</v>
      </c>
      <c r="G101" s="64">
        <v>162.5</v>
      </c>
      <c r="H101" s="64"/>
      <c r="I101" s="64"/>
      <c r="J101" s="109">
        <v>239</v>
      </c>
      <c r="K101" s="42">
        <f>1961.5+151.9</f>
        <v>2113.4</v>
      </c>
      <c r="L101" s="123">
        <f t="shared" si="13"/>
        <v>6647.6</v>
      </c>
      <c r="M101" s="42">
        <v>27.6</v>
      </c>
      <c r="N101" s="138">
        <f t="shared" si="14"/>
        <v>2189</v>
      </c>
      <c r="O101" s="125">
        <v>203</v>
      </c>
      <c r="P101" s="109">
        <f t="shared" si="15"/>
        <v>2392</v>
      </c>
      <c r="Q101" s="39">
        <f t="shared" si="11"/>
        <v>15.941000000000001</v>
      </c>
      <c r="R101" s="39">
        <f t="shared" si="12"/>
        <v>5.7362110311750598</v>
      </c>
      <c r="S101" s="128">
        <f t="shared" si="16"/>
        <v>0.77439883410250188</v>
      </c>
      <c r="T101" s="92">
        <f t="shared" si="17"/>
        <v>6675.2000000000007</v>
      </c>
      <c r="U101" s="85"/>
      <c r="W101" s="77"/>
    </row>
    <row r="102" spans="1:75" ht="18.75" hidden="1">
      <c r="A102" s="7" t="s">
        <v>127</v>
      </c>
      <c r="B102" s="89">
        <v>286</v>
      </c>
      <c r="C102" s="6">
        <v>1599.3</v>
      </c>
      <c r="D102" s="110">
        <v>354.1</v>
      </c>
      <c r="E102" s="67">
        <v>632.29999999999995</v>
      </c>
      <c r="F102" s="64">
        <v>640.79999999999995</v>
      </c>
      <c r="G102" s="64">
        <v>98.1</v>
      </c>
      <c r="H102" s="64"/>
      <c r="I102" s="64"/>
      <c r="J102" s="109">
        <v>203</v>
      </c>
      <c r="K102" s="42">
        <f>1343.5+104</f>
        <v>1447.5</v>
      </c>
      <c r="L102" s="123">
        <f t="shared" si="13"/>
        <v>4975.1000000000004</v>
      </c>
      <c r="M102" s="42">
        <v>32.9</v>
      </c>
      <c r="N102" s="138">
        <f t="shared" si="14"/>
        <v>1371.1999999999998</v>
      </c>
      <c r="O102" s="125">
        <v>144.4</v>
      </c>
      <c r="P102" s="109">
        <f t="shared" si="15"/>
        <v>1515.6</v>
      </c>
      <c r="Q102" s="39">
        <f t="shared" si="11"/>
        <v>17.395</v>
      </c>
      <c r="R102" s="39">
        <f t="shared" si="12"/>
        <v>5.2993006993006988</v>
      </c>
      <c r="S102" s="128">
        <f t="shared" si="16"/>
        <v>0.84503279086713623</v>
      </c>
      <c r="T102" s="92">
        <f t="shared" si="17"/>
        <v>5008</v>
      </c>
      <c r="U102" s="85"/>
      <c r="W102" s="77"/>
    </row>
    <row r="103" spans="1:75" ht="18.75" hidden="1">
      <c r="A103" s="7" t="s">
        <v>128</v>
      </c>
      <c r="B103" s="89">
        <v>223</v>
      </c>
      <c r="C103" s="6">
        <v>991.2</v>
      </c>
      <c r="D103" s="110">
        <v>219.5</v>
      </c>
      <c r="E103" s="67">
        <v>419.1</v>
      </c>
      <c r="F103" s="64">
        <v>890.3</v>
      </c>
      <c r="G103" s="64">
        <v>71.2</v>
      </c>
      <c r="H103" s="64"/>
      <c r="I103" s="64"/>
      <c r="J103" s="109">
        <v>154</v>
      </c>
      <c r="K103" s="42">
        <f>1208.9+93.6</f>
        <v>1302.5</v>
      </c>
      <c r="L103" s="123">
        <f t="shared" si="13"/>
        <v>4047.8</v>
      </c>
      <c r="M103" s="42">
        <v>49</v>
      </c>
      <c r="N103" s="138">
        <f t="shared" si="14"/>
        <v>1380.6000000000001</v>
      </c>
      <c r="O103" s="125">
        <v>116.4</v>
      </c>
      <c r="P103" s="109">
        <f t="shared" si="15"/>
        <v>1497.0000000000002</v>
      </c>
      <c r="Q103" s="39">
        <f t="shared" si="11"/>
        <v>18.152000000000001</v>
      </c>
      <c r="R103" s="39">
        <f t="shared" si="12"/>
        <v>6.7130044843049337</v>
      </c>
      <c r="S103" s="128">
        <f t="shared" si="16"/>
        <v>0.8818071411221764</v>
      </c>
      <c r="T103" s="92">
        <f t="shared" si="17"/>
        <v>4096.8</v>
      </c>
      <c r="U103" s="85"/>
      <c r="W103" s="77"/>
    </row>
    <row r="104" spans="1:75" ht="18.75" hidden="1">
      <c r="A104" s="7" t="s">
        <v>129</v>
      </c>
      <c r="B104" s="89">
        <v>113</v>
      </c>
      <c r="C104" s="42">
        <v>741</v>
      </c>
      <c r="D104" s="42">
        <v>164.1</v>
      </c>
      <c r="E104" s="67">
        <v>393</v>
      </c>
      <c r="F104" s="64">
        <v>433.7</v>
      </c>
      <c r="G104" s="64">
        <v>74.599999999999994</v>
      </c>
      <c r="H104" s="64"/>
      <c r="I104" s="64"/>
      <c r="J104" s="109">
        <v>130</v>
      </c>
      <c r="K104" s="42">
        <f>485.4+37.6</f>
        <v>523</v>
      </c>
      <c r="L104" s="123">
        <f t="shared" si="13"/>
        <v>2459.4</v>
      </c>
      <c r="M104" s="42">
        <v>27</v>
      </c>
      <c r="N104" s="138">
        <f t="shared" si="14"/>
        <v>901.30000000000007</v>
      </c>
      <c r="O104" s="125">
        <v>95.2</v>
      </c>
      <c r="P104" s="109">
        <f t="shared" si="15"/>
        <v>996.50000000000011</v>
      </c>
      <c r="Q104" s="39">
        <f t="shared" si="11"/>
        <v>21.765000000000001</v>
      </c>
      <c r="R104" s="39">
        <f t="shared" si="12"/>
        <v>8.8185840707964616</v>
      </c>
      <c r="S104" s="157">
        <f t="shared" si="16"/>
        <v>1.0573232936604324</v>
      </c>
      <c r="T104" s="92">
        <f t="shared" si="17"/>
        <v>2486.4</v>
      </c>
      <c r="U104" s="85"/>
      <c r="W104" s="77"/>
    </row>
    <row r="105" spans="1:75" ht="18.75" hidden="1">
      <c r="A105" s="7" t="s">
        <v>130</v>
      </c>
      <c r="B105" s="89">
        <v>358</v>
      </c>
      <c r="C105" s="42">
        <v>1358.6</v>
      </c>
      <c r="D105" s="42">
        <v>300.8</v>
      </c>
      <c r="E105" s="67">
        <v>609</v>
      </c>
      <c r="F105" s="64">
        <f>1131.3+139.7</f>
        <v>1271</v>
      </c>
      <c r="G105" s="64">
        <v>182.4</v>
      </c>
      <c r="H105" s="64"/>
      <c r="I105" s="64"/>
      <c r="J105" s="109">
        <v>199</v>
      </c>
      <c r="K105" s="42">
        <f>1577.9+122.2</f>
        <v>1700.1000000000001</v>
      </c>
      <c r="L105" s="123">
        <f t="shared" si="13"/>
        <v>5620.9</v>
      </c>
      <c r="M105" s="42">
        <v>50</v>
      </c>
      <c r="N105" s="138">
        <f t="shared" si="14"/>
        <v>2062.4</v>
      </c>
      <c r="O105" s="125">
        <v>124.4</v>
      </c>
      <c r="P105" s="109">
        <f t="shared" si="15"/>
        <v>2186.8000000000002</v>
      </c>
      <c r="Q105" s="39">
        <f t="shared" si="11"/>
        <v>15.701000000000001</v>
      </c>
      <c r="R105" s="39">
        <f t="shared" si="12"/>
        <v>6.108379888268157</v>
      </c>
      <c r="S105" s="128">
        <f t="shared" si="16"/>
        <v>0.76273985912071895</v>
      </c>
      <c r="T105" s="92">
        <f t="shared" si="17"/>
        <v>5670.9</v>
      </c>
      <c r="U105" s="85"/>
      <c r="W105" s="77"/>
    </row>
    <row r="106" spans="1:75" ht="18.75">
      <c r="A106" s="7" t="s">
        <v>131</v>
      </c>
      <c r="B106" s="89">
        <v>488</v>
      </c>
      <c r="C106" s="42">
        <v>1600.9</v>
      </c>
      <c r="D106" s="42">
        <v>354.5</v>
      </c>
      <c r="E106" s="67">
        <v>886.9</v>
      </c>
      <c r="F106" s="64">
        <f>1854.2+253.6</f>
        <v>2107.8000000000002</v>
      </c>
      <c r="G106" s="64">
        <v>361.4</v>
      </c>
      <c r="H106" s="64"/>
      <c r="I106" s="64"/>
      <c r="J106" s="109">
        <v>240</v>
      </c>
      <c r="K106" s="42">
        <f>2176.1+168.5</f>
        <v>2344.6</v>
      </c>
      <c r="L106" s="123">
        <f t="shared" si="13"/>
        <v>7896.1</v>
      </c>
      <c r="M106" s="42">
        <v>78.7</v>
      </c>
      <c r="N106" s="138">
        <f t="shared" si="14"/>
        <v>3356.1000000000004</v>
      </c>
      <c r="O106" s="125">
        <v>151</v>
      </c>
      <c r="P106" s="109">
        <f t="shared" si="15"/>
        <v>3507.1000000000004</v>
      </c>
      <c r="Q106" s="155">
        <f t="shared" si="11"/>
        <v>16.181000000000001</v>
      </c>
      <c r="R106" s="39">
        <f t="shared" si="12"/>
        <v>7.1866803278688529</v>
      </c>
      <c r="S106" s="128">
        <f t="shared" si="16"/>
        <v>0.78605780908428469</v>
      </c>
      <c r="T106" s="154">
        <f t="shared" si="17"/>
        <v>7974.8</v>
      </c>
      <c r="U106" s="85"/>
      <c r="W106" s="77"/>
    </row>
    <row r="107" spans="1:75" s="107" customFormat="1" ht="18.75" hidden="1">
      <c r="A107" s="120">
        <v>16</v>
      </c>
      <c r="B107" s="106">
        <v>327</v>
      </c>
      <c r="C107" s="42">
        <v>1171</v>
      </c>
      <c r="D107" s="42">
        <v>259.3</v>
      </c>
      <c r="E107" s="68">
        <v>505.5</v>
      </c>
      <c r="F107" s="66">
        <f>1157.1+149.4</f>
        <v>1306.5</v>
      </c>
      <c r="G107" s="66">
        <v>119.7</v>
      </c>
      <c r="H107" s="66"/>
      <c r="I107" s="66"/>
      <c r="J107" s="98">
        <v>177</v>
      </c>
      <c r="K107" s="44">
        <f>1659.8+128.5</f>
        <v>1788.3</v>
      </c>
      <c r="L107" s="123">
        <f t="shared" si="13"/>
        <v>5327.3</v>
      </c>
      <c r="M107" s="42">
        <v>57.4</v>
      </c>
      <c r="N107" s="138">
        <f t="shared" si="14"/>
        <v>1931.7</v>
      </c>
      <c r="O107" s="125">
        <v>148.5</v>
      </c>
      <c r="P107" s="109">
        <f t="shared" si="15"/>
        <v>2080.1999999999998</v>
      </c>
      <c r="Q107" s="39">
        <f t="shared" si="11"/>
        <v>16.291</v>
      </c>
      <c r="R107" s="39">
        <f t="shared" si="12"/>
        <v>6.3614678899082566</v>
      </c>
      <c r="S107" s="128">
        <f t="shared" si="16"/>
        <v>0.79140150595093517</v>
      </c>
      <c r="T107" s="92">
        <f t="shared" si="17"/>
        <v>5384.7</v>
      </c>
      <c r="U107" s="85"/>
      <c r="V107" s="80"/>
      <c r="W107" s="77"/>
      <c r="X107" s="80"/>
      <c r="Y107" s="80"/>
      <c r="Z107" s="87"/>
      <c r="AA107" s="87"/>
      <c r="AB107" s="87"/>
      <c r="AC107" s="87"/>
      <c r="AD107" s="87"/>
      <c r="AE107" s="87"/>
      <c r="AF107" s="87"/>
      <c r="AG107" s="87"/>
      <c r="AH107" s="87"/>
      <c r="AI107" s="87"/>
      <c r="AJ107" s="87"/>
      <c r="AK107" s="87"/>
      <c r="AL107" s="87"/>
      <c r="AM107" s="87"/>
      <c r="AN107" s="87"/>
      <c r="AO107" s="87"/>
      <c r="AP107" s="87"/>
      <c r="AQ107" s="87"/>
      <c r="AR107" s="87"/>
      <c r="AS107" s="87"/>
      <c r="AT107" s="87"/>
      <c r="AU107" s="87"/>
      <c r="AV107" s="87"/>
      <c r="AW107" s="87"/>
      <c r="AX107" s="87"/>
      <c r="AY107" s="87"/>
      <c r="AZ107" s="87"/>
      <c r="BA107" s="87"/>
      <c r="BB107" s="87"/>
      <c r="BC107" s="87"/>
      <c r="BD107" s="87"/>
      <c r="BE107" s="87"/>
      <c r="BF107" s="87"/>
      <c r="BG107" s="87"/>
      <c r="BH107" s="87"/>
      <c r="BI107" s="87"/>
      <c r="BJ107" s="87"/>
      <c r="BK107" s="87"/>
      <c r="BL107" s="87"/>
      <c r="BM107" s="87"/>
      <c r="BN107" s="87"/>
      <c r="BO107" s="87"/>
      <c r="BP107" s="87"/>
      <c r="BQ107" s="87"/>
      <c r="BR107" s="87"/>
      <c r="BS107" s="87"/>
      <c r="BT107" s="87"/>
      <c r="BU107" s="87"/>
      <c r="BV107" s="87"/>
      <c r="BW107" s="87"/>
    </row>
    <row r="108" spans="1:75" ht="18.75" hidden="1">
      <c r="A108" s="7" t="s">
        <v>132</v>
      </c>
      <c r="B108" s="89">
        <v>365</v>
      </c>
      <c r="C108" s="42">
        <v>1311.7</v>
      </c>
      <c r="D108" s="42">
        <v>290.39999999999998</v>
      </c>
      <c r="E108" s="67">
        <v>492.8</v>
      </c>
      <c r="F108" s="64">
        <f>961.1+116.3</f>
        <v>1077.4000000000001</v>
      </c>
      <c r="G108" s="64">
        <v>231.9</v>
      </c>
      <c r="H108" s="64"/>
      <c r="I108" s="64"/>
      <c r="J108" s="109">
        <v>199</v>
      </c>
      <c r="K108" s="42">
        <f>1719.8+133.1</f>
        <v>1852.8999999999999</v>
      </c>
      <c r="L108" s="123">
        <f t="shared" si="13"/>
        <v>5456.1</v>
      </c>
      <c r="M108" s="42">
        <v>52.1</v>
      </c>
      <c r="N108" s="138">
        <f t="shared" si="14"/>
        <v>1802.1000000000001</v>
      </c>
      <c r="O108" s="125">
        <v>111.7</v>
      </c>
      <c r="P108" s="109">
        <f t="shared" si="15"/>
        <v>1913.8000000000002</v>
      </c>
      <c r="Q108" s="39">
        <f t="shared" si="11"/>
        <v>14.948</v>
      </c>
      <c r="R108" s="39">
        <f t="shared" si="12"/>
        <v>5.2432876712328769</v>
      </c>
      <c r="S108" s="128">
        <f t="shared" si="16"/>
        <v>0.72615982511537525</v>
      </c>
      <c r="T108" s="92">
        <f t="shared" si="17"/>
        <v>5508.2000000000007</v>
      </c>
      <c r="U108" s="85"/>
      <c r="W108" s="77"/>
    </row>
    <row r="109" spans="1:75" ht="18.75" hidden="1">
      <c r="A109" s="7" t="s">
        <v>133</v>
      </c>
      <c r="B109" s="89">
        <v>393</v>
      </c>
      <c r="C109" s="42">
        <v>1288.2</v>
      </c>
      <c r="D109" s="42">
        <v>285.2</v>
      </c>
      <c r="E109" s="67">
        <v>583.5</v>
      </c>
      <c r="F109" s="64">
        <f>1191+167.1</f>
        <v>1358.1</v>
      </c>
      <c r="G109" s="64">
        <v>184.3</v>
      </c>
      <c r="H109" s="64"/>
      <c r="I109" s="64"/>
      <c r="J109" s="109">
        <v>199</v>
      </c>
      <c r="K109" s="42">
        <f>1687.1+130.7</f>
        <v>1817.8</v>
      </c>
      <c r="L109" s="123">
        <f t="shared" si="13"/>
        <v>5716.1</v>
      </c>
      <c r="M109" s="42">
        <v>63.5</v>
      </c>
      <c r="N109" s="138">
        <f t="shared" si="14"/>
        <v>2125.9</v>
      </c>
      <c r="O109" s="125">
        <v>138.9</v>
      </c>
      <c r="P109" s="109">
        <f t="shared" si="15"/>
        <v>2264.8000000000002</v>
      </c>
      <c r="Q109" s="39">
        <f t="shared" si="11"/>
        <v>14.545</v>
      </c>
      <c r="R109" s="39">
        <f t="shared" si="12"/>
        <v>5.7628498727735371</v>
      </c>
      <c r="S109" s="128">
        <f t="shared" si="16"/>
        <v>0.70658246295846483</v>
      </c>
      <c r="T109" s="92">
        <f t="shared" si="17"/>
        <v>5779.6</v>
      </c>
      <c r="U109" s="85"/>
      <c r="W109" s="77"/>
    </row>
    <row r="110" spans="1:75" s="107" customFormat="1" ht="18.75" hidden="1">
      <c r="A110" s="120">
        <v>84</v>
      </c>
      <c r="B110" s="106">
        <v>100</v>
      </c>
      <c r="C110" s="42">
        <v>834.8</v>
      </c>
      <c r="D110" s="42">
        <v>184.8</v>
      </c>
      <c r="E110" s="68">
        <v>404.1</v>
      </c>
      <c r="F110" s="66">
        <v>312.2</v>
      </c>
      <c r="G110" s="66">
        <v>78.900000000000006</v>
      </c>
      <c r="H110" s="66"/>
      <c r="I110" s="66"/>
      <c r="J110" s="98">
        <v>154</v>
      </c>
      <c r="K110" s="44">
        <f>698.1+54</f>
        <v>752.1</v>
      </c>
      <c r="L110" s="123">
        <f t="shared" si="13"/>
        <v>2720.9</v>
      </c>
      <c r="M110" s="42">
        <v>31.6</v>
      </c>
      <c r="N110" s="138">
        <f t="shared" si="14"/>
        <v>795.19999999999993</v>
      </c>
      <c r="O110" s="125">
        <v>94.2</v>
      </c>
      <c r="P110" s="109">
        <f t="shared" si="15"/>
        <v>889.4</v>
      </c>
      <c r="Q110" s="39">
        <f t="shared" si="11"/>
        <v>27.209</v>
      </c>
      <c r="R110" s="39">
        <f t="shared" si="12"/>
        <v>8.8940000000000001</v>
      </c>
      <c r="S110" s="157">
        <f t="shared" si="16"/>
        <v>1.3217877094972066</v>
      </c>
      <c r="T110" s="92">
        <f t="shared" si="17"/>
        <v>2752.5</v>
      </c>
      <c r="U110" s="85"/>
      <c r="V110" s="80"/>
      <c r="W110" s="77"/>
      <c r="X110" s="80"/>
      <c r="Y110" s="80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  <c r="BU110" s="87"/>
      <c r="BV110" s="87"/>
      <c r="BW110" s="87"/>
    </row>
    <row r="111" spans="1:75" s="107" customFormat="1" ht="18.75">
      <c r="A111" s="120">
        <v>94</v>
      </c>
      <c r="B111" s="106">
        <v>381</v>
      </c>
      <c r="C111" s="42">
        <v>1546.2</v>
      </c>
      <c r="D111" s="42">
        <v>342.3</v>
      </c>
      <c r="E111" s="68">
        <v>687.7</v>
      </c>
      <c r="F111" s="66">
        <f>1631.5+223.2</f>
        <v>1854.7</v>
      </c>
      <c r="G111" s="66">
        <v>315.10000000000002</v>
      </c>
      <c r="H111" s="66"/>
      <c r="I111" s="66"/>
      <c r="J111" s="98">
        <v>219</v>
      </c>
      <c r="K111" s="44">
        <f>1783.4+138.2</f>
        <v>1921.6000000000001</v>
      </c>
      <c r="L111" s="123">
        <f t="shared" si="13"/>
        <v>6886.6</v>
      </c>
      <c r="M111" s="42">
        <v>86.6</v>
      </c>
      <c r="N111" s="138">
        <f t="shared" si="14"/>
        <v>2857.5</v>
      </c>
      <c r="O111" s="125">
        <v>154</v>
      </c>
      <c r="P111" s="109">
        <f t="shared" si="15"/>
        <v>3011.5</v>
      </c>
      <c r="Q111" s="155">
        <f t="shared" si="11"/>
        <v>18.074999999999999</v>
      </c>
      <c r="R111" s="39">
        <f t="shared" si="12"/>
        <v>7.9041994750656164</v>
      </c>
      <c r="S111" s="128">
        <f t="shared" si="16"/>
        <v>0.87806655331552097</v>
      </c>
      <c r="T111" s="154">
        <f t="shared" si="17"/>
        <v>6973.2000000000007</v>
      </c>
      <c r="U111" s="85"/>
      <c r="V111" s="80"/>
      <c r="W111" s="77"/>
      <c r="X111" s="80"/>
      <c r="Y111" s="80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  <c r="BV111" s="87"/>
      <c r="BW111" s="87"/>
    </row>
    <row r="112" spans="1:75" s="107" customFormat="1" ht="18.75" hidden="1">
      <c r="A112" s="120">
        <v>101</v>
      </c>
      <c r="B112" s="106">
        <v>230</v>
      </c>
      <c r="C112" s="62">
        <v>1700.9</v>
      </c>
      <c r="D112" s="42">
        <v>376.6</v>
      </c>
      <c r="E112" s="68">
        <v>705.8</v>
      </c>
      <c r="F112" s="66">
        <f>1750.8+98.9</f>
        <v>1849.7</v>
      </c>
      <c r="G112" s="66">
        <v>174.2</v>
      </c>
      <c r="H112" s="66"/>
      <c r="I112" s="66"/>
      <c r="J112" s="98">
        <v>209</v>
      </c>
      <c r="K112" s="44">
        <f>1850.6+143.3</f>
        <v>1993.8999999999999</v>
      </c>
      <c r="L112" s="123">
        <f t="shared" si="13"/>
        <v>7010.1</v>
      </c>
      <c r="M112" s="42">
        <v>34.299999999999997</v>
      </c>
      <c r="N112" s="138">
        <f t="shared" si="14"/>
        <v>2729.7</v>
      </c>
      <c r="O112" s="125">
        <v>165.5</v>
      </c>
      <c r="P112" s="109">
        <f t="shared" si="15"/>
        <v>2895.2</v>
      </c>
      <c r="Q112" s="39">
        <f t="shared" si="11"/>
        <v>30.478999999999999</v>
      </c>
      <c r="R112" s="39">
        <f t="shared" si="12"/>
        <v>12.587826086956522</v>
      </c>
      <c r="S112" s="157">
        <f t="shared" si="16"/>
        <v>1.480641243623998</v>
      </c>
      <c r="T112" s="92">
        <f t="shared" si="17"/>
        <v>7044.4000000000005</v>
      </c>
      <c r="U112" s="85"/>
      <c r="V112" s="80"/>
      <c r="W112" s="77"/>
      <c r="X112" s="80"/>
      <c r="Y112" s="80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7"/>
      <c r="BQ112" s="87"/>
      <c r="BR112" s="87"/>
      <c r="BS112" s="87"/>
      <c r="BT112" s="87"/>
      <c r="BU112" s="87"/>
      <c r="BV112" s="87"/>
      <c r="BW112" s="87"/>
    </row>
    <row r="113" spans="1:75" ht="18.75" hidden="1">
      <c r="A113" s="7" t="s">
        <v>134</v>
      </c>
      <c r="B113" s="89">
        <v>192</v>
      </c>
      <c r="C113" s="62">
        <v>952.1</v>
      </c>
      <c r="D113" s="42">
        <v>210.8</v>
      </c>
      <c r="E113" s="67">
        <v>442.6</v>
      </c>
      <c r="F113" s="64">
        <v>607.1</v>
      </c>
      <c r="G113" s="64">
        <v>95.4</v>
      </c>
      <c r="H113" s="64"/>
      <c r="I113" s="64"/>
      <c r="J113" s="109">
        <v>154</v>
      </c>
      <c r="K113" s="42">
        <f>1034.4+80.1</f>
        <v>1114.5</v>
      </c>
      <c r="L113" s="123">
        <f t="shared" si="13"/>
        <v>3576.5</v>
      </c>
      <c r="M113" s="42">
        <v>33.700000000000003</v>
      </c>
      <c r="N113" s="138">
        <f t="shared" si="14"/>
        <v>1145.1000000000001</v>
      </c>
      <c r="O113" s="125">
        <v>130.9</v>
      </c>
      <c r="P113" s="109">
        <f t="shared" si="15"/>
        <v>1276.0000000000002</v>
      </c>
      <c r="Q113" s="39">
        <f t="shared" si="11"/>
        <v>18.628</v>
      </c>
      <c r="R113" s="39">
        <f t="shared" si="12"/>
        <v>6.6458333333333348</v>
      </c>
      <c r="S113" s="128">
        <f t="shared" si="16"/>
        <v>0.90493077483604567</v>
      </c>
      <c r="T113" s="92">
        <f t="shared" si="17"/>
        <v>3610.2</v>
      </c>
      <c r="U113" s="85"/>
      <c r="W113" s="77"/>
    </row>
    <row r="114" spans="1:75" ht="18.75" hidden="1">
      <c r="A114" s="7" t="s">
        <v>135</v>
      </c>
      <c r="B114" s="89">
        <v>159</v>
      </c>
      <c r="C114" s="62">
        <v>866.1</v>
      </c>
      <c r="D114" s="42">
        <v>191.8</v>
      </c>
      <c r="E114" s="67">
        <v>425.7</v>
      </c>
      <c r="F114" s="64">
        <v>350.3</v>
      </c>
      <c r="G114" s="64">
        <v>71</v>
      </c>
      <c r="H114" s="64"/>
      <c r="I114" s="64"/>
      <c r="J114" s="109">
        <v>150</v>
      </c>
      <c r="K114" s="42">
        <f>838.1+64.9</f>
        <v>903</v>
      </c>
      <c r="L114" s="123">
        <f t="shared" si="13"/>
        <v>2957.9</v>
      </c>
      <c r="M114" s="42">
        <v>25.6</v>
      </c>
      <c r="N114" s="138">
        <f t="shared" si="14"/>
        <v>847</v>
      </c>
      <c r="O114" s="125">
        <v>108.8</v>
      </c>
      <c r="P114" s="109">
        <f t="shared" si="15"/>
        <v>955.8</v>
      </c>
      <c r="Q114" s="39">
        <f t="shared" si="11"/>
        <v>18.603000000000002</v>
      </c>
      <c r="R114" s="39">
        <f t="shared" si="12"/>
        <v>6.0113207547169809</v>
      </c>
      <c r="S114" s="128">
        <f t="shared" si="16"/>
        <v>0.90371629827544331</v>
      </c>
      <c r="T114" s="92">
        <f t="shared" si="17"/>
        <v>2983.5</v>
      </c>
      <c r="U114" s="85"/>
      <c r="W114" s="77"/>
    </row>
    <row r="115" spans="1:75" s="107" customFormat="1" ht="18.75" hidden="1">
      <c r="A115" s="120">
        <v>148</v>
      </c>
      <c r="B115" s="106">
        <v>198</v>
      </c>
      <c r="C115" s="62">
        <v>1489.9</v>
      </c>
      <c r="D115" s="42">
        <v>329.9</v>
      </c>
      <c r="E115" s="68">
        <v>627</v>
      </c>
      <c r="F115" s="66">
        <v>711.2</v>
      </c>
      <c r="G115" s="66">
        <v>112.2</v>
      </c>
      <c r="H115" s="66"/>
      <c r="I115" s="66"/>
      <c r="J115" s="98">
        <v>217</v>
      </c>
      <c r="K115" s="44">
        <f>1045.3+81</f>
        <v>1126.3</v>
      </c>
      <c r="L115" s="123">
        <f t="shared" si="13"/>
        <v>4613.5</v>
      </c>
      <c r="M115" s="42">
        <v>60</v>
      </c>
      <c r="N115" s="138">
        <f t="shared" si="14"/>
        <v>1450.4</v>
      </c>
      <c r="O115" s="125">
        <v>159</v>
      </c>
      <c r="P115" s="109">
        <f t="shared" si="15"/>
        <v>1609.4</v>
      </c>
      <c r="Q115" s="39">
        <f t="shared" si="11"/>
        <v>23.300999999999998</v>
      </c>
      <c r="R115" s="39">
        <f t="shared" si="12"/>
        <v>8.1282828282828294</v>
      </c>
      <c r="S115" s="157">
        <f t="shared" si="16"/>
        <v>1.1319407335438425</v>
      </c>
      <c r="T115" s="92">
        <f t="shared" si="17"/>
        <v>4673.5</v>
      </c>
      <c r="U115" s="85"/>
      <c r="V115" s="80"/>
      <c r="W115" s="77"/>
      <c r="X115" s="80"/>
      <c r="Y115" s="80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  <c r="BN115" s="87"/>
      <c r="BO115" s="87"/>
      <c r="BP115" s="87"/>
      <c r="BQ115" s="87"/>
      <c r="BR115" s="87"/>
      <c r="BS115" s="87"/>
      <c r="BT115" s="87"/>
      <c r="BU115" s="87"/>
      <c r="BV115" s="87"/>
      <c r="BW115" s="87"/>
    </row>
    <row r="116" spans="1:75" ht="18.75" hidden="1">
      <c r="A116" s="7" t="s">
        <v>136</v>
      </c>
      <c r="B116" s="89">
        <v>325</v>
      </c>
      <c r="C116" s="62">
        <v>1256.9000000000001</v>
      </c>
      <c r="D116" s="42">
        <v>278.3</v>
      </c>
      <c r="E116" s="67">
        <v>406</v>
      </c>
      <c r="F116" s="64">
        <f>740.7+95.1</f>
        <v>835.80000000000007</v>
      </c>
      <c r="G116" s="64">
        <v>105.9</v>
      </c>
      <c r="H116" s="64"/>
      <c r="I116" s="64"/>
      <c r="J116" s="109">
        <v>177</v>
      </c>
      <c r="K116" s="42">
        <f>1327.1+102.8</f>
        <v>1429.8999999999999</v>
      </c>
      <c r="L116" s="123">
        <f t="shared" si="13"/>
        <v>4489.8</v>
      </c>
      <c r="M116" s="42">
        <v>57.3</v>
      </c>
      <c r="N116" s="138">
        <f t="shared" si="14"/>
        <v>1347.7000000000003</v>
      </c>
      <c r="O116" s="125">
        <v>96.2</v>
      </c>
      <c r="P116" s="109">
        <f t="shared" si="15"/>
        <v>1443.9000000000003</v>
      </c>
      <c r="Q116" s="39">
        <f t="shared" si="11"/>
        <v>13.815</v>
      </c>
      <c r="R116" s="39">
        <f t="shared" si="12"/>
        <v>4.4427692307692315</v>
      </c>
      <c r="S116" s="128">
        <f t="shared" si="16"/>
        <v>0.67111974738887537</v>
      </c>
      <c r="T116" s="92">
        <f t="shared" si="17"/>
        <v>4547.1000000000004</v>
      </c>
      <c r="U116" s="85"/>
      <c r="W116" s="77"/>
    </row>
    <row r="117" spans="1:75" ht="18.75" hidden="1">
      <c r="A117" s="7" t="s">
        <v>137</v>
      </c>
      <c r="B117" s="89">
        <v>353</v>
      </c>
      <c r="C117" s="62">
        <v>1335.1</v>
      </c>
      <c r="D117" s="42">
        <v>295.60000000000002</v>
      </c>
      <c r="E117" s="67">
        <v>545.70000000000005</v>
      </c>
      <c r="F117" s="64">
        <f>1145.2+145.7</f>
        <v>1290.9000000000001</v>
      </c>
      <c r="G117" s="64">
        <v>220</v>
      </c>
      <c r="H117" s="64"/>
      <c r="I117" s="64"/>
      <c r="J117" s="109">
        <v>199</v>
      </c>
      <c r="K117" s="42">
        <f>1543.3+119.5</f>
        <v>1662.8</v>
      </c>
      <c r="L117" s="123">
        <f t="shared" si="13"/>
        <v>5549.1</v>
      </c>
      <c r="M117" s="42">
        <v>201.9</v>
      </c>
      <c r="N117" s="138">
        <f t="shared" si="14"/>
        <v>2056.6000000000004</v>
      </c>
      <c r="O117" s="125">
        <v>120.5</v>
      </c>
      <c r="P117" s="109">
        <f t="shared" si="15"/>
        <v>2177.1000000000004</v>
      </c>
      <c r="Q117" s="39">
        <f t="shared" si="11"/>
        <v>15.72</v>
      </c>
      <c r="R117" s="39">
        <f t="shared" si="12"/>
        <v>6.1674220963172814</v>
      </c>
      <c r="S117" s="128">
        <f t="shared" si="16"/>
        <v>0.76366286130677674</v>
      </c>
      <c r="T117" s="92">
        <f t="shared" si="17"/>
        <v>5751</v>
      </c>
      <c r="U117" s="85"/>
      <c r="W117" s="77"/>
    </row>
    <row r="118" spans="1:75" ht="18.75" hidden="1">
      <c r="A118" s="7" t="s">
        <v>138</v>
      </c>
      <c r="B118" s="89">
        <v>146</v>
      </c>
      <c r="C118" s="62">
        <v>866.1</v>
      </c>
      <c r="D118" s="42">
        <v>191.8</v>
      </c>
      <c r="E118" s="67">
        <v>288.2</v>
      </c>
      <c r="F118" s="64">
        <v>747.8</v>
      </c>
      <c r="G118" s="64">
        <v>61.3</v>
      </c>
      <c r="H118" s="64"/>
      <c r="I118" s="64"/>
      <c r="J118" s="109">
        <v>150</v>
      </c>
      <c r="K118" s="42">
        <f>692.6+53.6</f>
        <v>746.2</v>
      </c>
      <c r="L118" s="123">
        <f t="shared" si="13"/>
        <v>3051.4</v>
      </c>
      <c r="M118" s="42">
        <v>28.8</v>
      </c>
      <c r="N118" s="138">
        <f t="shared" si="14"/>
        <v>1097.3</v>
      </c>
      <c r="O118" s="125">
        <v>126.8</v>
      </c>
      <c r="P118" s="109">
        <f t="shared" si="15"/>
        <v>1224.0999999999999</v>
      </c>
      <c r="Q118" s="39">
        <f t="shared" si="11"/>
        <v>20.9</v>
      </c>
      <c r="R118" s="39">
        <f t="shared" si="12"/>
        <v>8.3842465753424644</v>
      </c>
      <c r="S118" s="157">
        <f t="shared" si="16"/>
        <v>1.0153024046635899</v>
      </c>
      <c r="T118" s="92">
        <f t="shared" si="17"/>
        <v>3080.2000000000003</v>
      </c>
      <c r="U118" s="85"/>
      <c r="W118" s="77"/>
    </row>
    <row r="119" spans="1:75" ht="18.75" hidden="1">
      <c r="A119" s="7" t="s">
        <v>139</v>
      </c>
      <c r="B119" s="89">
        <v>399</v>
      </c>
      <c r="C119" s="62">
        <v>1358.6</v>
      </c>
      <c r="D119" s="42">
        <v>300.8</v>
      </c>
      <c r="E119" s="67">
        <v>589.4</v>
      </c>
      <c r="F119" s="64">
        <f>1299.6+169</f>
        <v>1468.6</v>
      </c>
      <c r="G119" s="64">
        <v>183.9</v>
      </c>
      <c r="H119" s="64"/>
      <c r="I119" s="64"/>
      <c r="J119" s="109">
        <v>199</v>
      </c>
      <c r="K119" s="42">
        <f>1621.6+125.6</f>
        <v>1747.1999999999998</v>
      </c>
      <c r="L119" s="123">
        <f t="shared" si="13"/>
        <v>5847.5</v>
      </c>
      <c r="M119" s="42">
        <v>44.9</v>
      </c>
      <c r="N119" s="138">
        <f t="shared" si="14"/>
        <v>2241.9</v>
      </c>
      <c r="O119" s="125">
        <v>118.3</v>
      </c>
      <c r="P119" s="109">
        <f t="shared" si="15"/>
        <v>2360.2000000000003</v>
      </c>
      <c r="Q119" s="39">
        <f t="shared" si="11"/>
        <v>14.654999999999999</v>
      </c>
      <c r="R119" s="39">
        <f t="shared" si="12"/>
        <v>5.9152882205513793</v>
      </c>
      <c r="S119" s="128">
        <f t="shared" si="16"/>
        <v>0.71192615982511531</v>
      </c>
      <c r="T119" s="92">
        <f t="shared" si="17"/>
        <v>5892.4</v>
      </c>
      <c r="U119" s="85"/>
      <c r="W119" s="77"/>
    </row>
    <row r="120" spans="1:75" ht="18.75" hidden="1">
      <c r="A120" s="7" t="s">
        <v>140</v>
      </c>
      <c r="B120" s="89">
        <v>224</v>
      </c>
      <c r="C120" s="62">
        <v>1077.2</v>
      </c>
      <c r="D120" s="42">
        <v>238.5</v>
      </c>
      <c r="E120" s="67">
        <v>334</v>
      </c>
      <c r="F120" s="64">
        <v>877.1</v>
      </c>
      <c r="G120" s="64">
        <v>76.400000000000006</v>
      </c>
      <c r="H120" s="64"/>
      <c r="I120" s="64"/>
      <c r="J120" s="109">
        <v>154</v>
      </c>
      <c r="K120" s="42">
        <f>1047.1+81.1</f>
        <v>1128.1999999999998</v>
      </c>
      <c r="L120" s="123">
        <f t="shared" si="13"/>
        <v>3885.4</v>
      </c>
      <c r="M120" s="42">
        <v>33</v>
      </c>
      <c r="N120" s="138">
        <f t="shared" si="14"/>
        <v>1287.5</v>
      </c>
      <c r="O120" s="125">
        <v>111.6</v>
      </c>
      <c r="P120" s="109">
        <f t="shared" si="15"/>
        <v>1399.1</v>
      </c>
      <c r="Q120" s="39">
        <f t="shared" si="11"/>
        <v>17.346</v>
      </c>
      <c r="R120" s="39">
        <f t="shared" si="12"/>
        <v>6.2459821428571427</v>
      </c>
      <c r="S120" s="128">
        <f t="shared" si="16"/>
        <v>0.84265241680835556</v>
      </c>
      <c r="T120" s="92">
        <f t="shared" si="17"/>
        <v>3918.4</v>
      </c>
      <c r="U120" s="85"/>
      <c r="W120" s="77"/>
    </row>
    <row r="121" spans="1:75" ht="18.75" hidden="1">
      <c r="A121" s="7" t="s">
        <v>141</v>
      </c>
      <c r="B121" s="89">
        <v>374</v>
      </c>
      <c r="C121" s="62">
        <v>1358.6</v>
      </c>
      <c r="D121" s="42">
        <v>300.8</v>
      </c>
      <c r="E121" s="67">
        <v>517.29999999999995</v>
      </c>
      <c r="F121" s="64">
        <f>1218.3+159.3</f>
        <v>1377.6</v>
      </c>
      <c r="G121" s="64">
        <v>160.9</v>
      </c>
      <c r="H121" s="64"/>
      <c r="I121" s="64"/>
      <c r="J121" s="109">
        <v>199</v>
      </c>
      <c r="K121" s="42">
        <f>1592.4+123.4</f>
        <v>1715.8000000000002</v>
      </c>
      <c r="L121" s="123">
        <f t="shared" si="13"/>
        <v>5630</v>
      </c>
      <c r="M121" s="42">
        <v>53</v>
      </c>
      <c r="N121" s="138">
        <f t="shared" si="14"/>
        <v>2055.7999999999997</v>
      </c>
      <c r="O121" s="125">
        <v>134.9</v>
      </c>
      <c r="P121" s="109">
        <f t="shared" si="15"/>
        <v>2190.6999999999998</v>
      </c>
      <c r="Q121" s="39">
        <f t="shared" si="11"/>
        <v>15.053000000000001</v>
      </c>
      <c r="R121" s="39">
        <f t="shared" si="12"/>
        <v>5.8574866310160427</v>
      </c>
      <c r="S121" s="128">
        <f t="shared" si="16"/>
        <v>0.73126062666990532</v>
      </c>
      <c r="T121" s="92">
        <f t="shared" si="17"/>
        <v>5683</v>
      </c>
      <c r="U121" s="85"/>
      <c r="W121" s="77"/>
    </row>
    <row r="122" spans="1:75" ht="18.75" hidden="1">
      <c r="A122" s="7" t="s">
        <v>142</v>
      </c>
      <c r="B122" s="89">
        <v>177</v>
      </c>
      <c r="C122" s="62">
        <v>879.6</v>
      </c>
      <c r="D122" s="42">
        <v>194.8</v>
      </c>
      <c r="E122" s="67">
        <v>479</v>
      </c>
      <c r="F122" s="64">
        <v>696</v>
      </c>
      <c r="G122" s="64">
        <v>94.9</v>
      </c>
      <c r="H122" s="64"/>
      <c r="I122" s="64"/>
      <c r="J122" s="109">
        <v>150</v>
      </c>
      <c r="K122" s="42">
        <f>865.3+67</f>
        <v>932.3</v>
      </c>
      <c r="L122" s="123">
        <f t="shared" si="13"/>
        <v>3426.6</v>
      </c>
      <c r="M122" s="42">
        <v>75</v>
      </c>
      <c r="N122" s="138">
        <f t="shared" si="14"/>
        <v>1269.9000000000001</v>
      </c>
      <c r="O122" s="125">
        <v>94.3</v>
      </c>
      <c r="P122" s="109">
        <f t="shared" si="15"/>
        <v>1364.2</v>
      </c>
      <c r="Q122" s="39">
        <f t="shared" si="11"/>
        <v>19.359000000000002</v>
      </c>
      <c r="R122" s="39">
        <f t="shared" si="12"/>
        <v>7.7073446327683621</v>
      </c>
      <c r="S122" s="128">
        <f t="shared" si="16"/>
        <v>0.94044206946805931</v>
      </c>
      <c r="T122" s="92">
        <f t="shared" si="17"/>
        <v>3501.6</v>
      </c>
      <c r="U122" s="85"/>
      <c r="W122" s="77"/>
    </row>
    <row r="123" spans="1:75" ht="18.75">
      <c r="A123" s="7" t="s">
        <v>143</v>
      </c>
      <c r="B123" s="89">
        <v>390</v>
      </c>
      <c r="C123" s="62">
        <v>1499.3</v>
      </c>
      <c r="D123" s="42">
        <v>332</v>
      </c>
      <c r="E123" s="67">
        <v>780.3</v>
      </c>
      <c r="F123" s="64">
        <v>1536.8</v>
      </c>
      <c r="G123" s="64">
        <v>185.9</v>
      </c>
      <c r="H123" s="64"/>
      <c r="I123" s="64"/>
      <c r="J123" s="109">
        <v>219</v>
      </c>
      <c r="K123" s="42">
        <f>1856.1+143.7</f>
        <v>1999.8</v>
      </c>
      <c r="L123" s="123">
        <f t="shared" si="13"/>
        <v>6553.1</v>
      </c>
      <c r="M123" s="42">
        <v>49.3</v>
      </c>
      <c r="N123" s="138">
        <f t="shared" si="14"/>
        <v>2503</v>
      </c>
      <c r="O123" s="125">
        <v>134.69999999999999</v>
      </c>
      <c r="P123" s="109">
        <f t="shared" si="15"/>
        <v>2637.7</v>
      </c>
      <c r="Q123" s="155">
        <f t="shared" si="11"/>
        <v>16.803000000000001</v>
      </c>
      <c r="R123" s="39">
        <f t="shared" si="12"/>
        <v>6.7633333333333328</v>
      </c>
      <c r="S123" s="128">
        <f t="shared" si="16"/>
        <v>0.8162739859120719</v>
      </c>
      <c r="T123" s="154">
        <f t="shared" si="17"/>
        <v>6602.4000000000005</v>
      </c>
      <c r="U123" s="85"/>
      <c r="W123" s="77"/>
    </row>
    <row r="124" spans="1:75" ht="18.75" hidden="1">
      <c r="A124" s="7" t="s">
        <v>144</v>
      </c>
      <c r="B124" s="89">
        <v>312</v>
      </c>
      <c r="C124" s="42">
        <v>1669.7</v>
      </c>
      <c r="D124" s="42">
        <v>369.7</v>
      </c>
      <c r="E124" s="67">
        <v>1105.9000000000001</v>
      </c>
      <c r="F124" s="64">
        <v>815.3</v>
      </c>
      <c r="G124" s="64">
        <v>143.6</v>
      </c>
      <c r="H124" s="64"/>
      <c r="I124" s="64"/>
      <c r="J124" s="109">
        <v>217</v>
      </c>
      <c r="K124" s="42">
        <f>1450.7+112.4</f>
        <v>1563.1000000000001</v>
      </c>
      <c r="L124" s="123">
        <f t="shared" si="13"/>
        <v>5884.3</v>
      </c>
      <c r="M124" s="42">
        <v>70.7</v>
      </c>
      <c r="N124" s="138">
        <f t="shared" si="14"/>
        <v>2064.8000000000002</v>
      </c>
      <c r="O124" s="125">
        <v>163.6</v>
      </c>
      <c r="P124" s="109">
        <f t="shared" si="15"/>
        <v>2228.4</v>
      </c>
      <c r="Q124" s="39">
        <f t="shared" si="11"/>
        <v>18.86</v>
      </c>
      <c r="R124" s="39">
        <f t="shared" si="12"/>
        <v>7.1423076923076927</v>
      </c>
      <c r="S124" s="128">
        <f t="shared" si="16"/>
        <v>0.91620111731843568</v>
      </c>
      <c r="T124" s="92">
        <f t="shared" si="17"/>
        <v>5955</v>
      </c>
      <c r="U124" s="85"/>
      <c r="W124" s="77"/>
    </row>
    <row r="125" spans="1:75" s="107" customFormat="1" ht="18.75" hidden="1">
      <c r="A125" s="120">
        <v>194</v>
      </c>
      <c r="B125" s="106">
        <v>136</v>
      </c>
      <c r="C125" s="42">
        <v>803.6</v>
      </c>
      <c r="D125" s="42">
        <v>177.9</v>
      </c>
      <c r="E125" s="68">
        <v>465</v>
      </c>
      <c r="F125" s="66">
        <v>468.3</v>
      </c>
      <c r="G125" s="66">
        <v>84.3</v>
      </c>
      <c r="H125" s="66"/>
      <c r="I125" s="66"/>
      <c r="J125" s="98">
        <v>150</v>
      </c>
      <c r="K125" s="44">
        <f>1103.5+85.5</f>
        <v>1189</v>
      </c>
      <c r="L125" s="123">
        <f t="shared" si="13"/>
        <v>3338.1</v>
      </c>
      <c r="M125" s="42">
        <v>22.9</v>
      </c>
      <c r="N125" s="138">
        <f t="shared" si="14"/>
        <v>1017.5999999999999</v>
      </c>
      <c r="O125" s="125">
        <v>119.3</v>
      </c>
      <c r="P125" s="109">
        <f t="shared" si="15"/>
        <v>1136.8999999999999</v>
      </c>
      <c r="Q125" s="39">
        <f t="shared" si="11"/>
        <v>24.545000000000002</v>
      </c>
      <c r="R125" s="39">
        <f t="shared" si="12"/>
        <v>8.3595588235294116</v>
      </c>
      <c r="S125" s="157">
        <f t="shared" si="16"/>
        <v>1.1923730871994171</v>
      </c>
      <c r="T125" s="92">
        <f t="shared" si="17"/>
        <v>3361</v>
      </c>
      <c r="U125" s="85"/>
      <c r="V125" s="80"/>
      <c r="W125" s="77"/>
      <c r="X125" s="80"/>
      <c r="Y125" s="80"/>
      <c r="Z125" s="87"/>
      <c r="AA125" s="87"/>
      <c r="AB125" s="87"/>
      <c r="AC125" s="87"/>
      <c r="AD125" s="87"/>
      <c r="AE125" s="87"/>
      <c r="AF125" s="87"/>
      <c r="AG125" s="87"/>
      <c r="AH125" s="87"/>
      <c r="AI125" s="87"/>
      <c r="AJ125" s="87"/>
      <c r="AK125" s="87"/>
      <c r="AL125" s="87"/>
      <c r="AM125" s="87"/>
      <c r="AN125" s="87"/>
      <c r="AO125" s="87"/>
      <c r="AP125" s="87"/>
      <c r="AQ125" s="87"/>
      <c r="AR125" s="87"/>
      <c r="AS125" s="87"/>
      <c r="AT125" s="87"/>
      <c r="AU125" s="87"/>
      <c r="AV125" s="87"/>
      <c r="AW125" s="87"/>
      <c r="AX125" s="87"/>
      <c r="AY125" s="87"/>
      <c r="AZ125" s="87"/>
      <c r="BA125" s="87"/>
      <c r="BB125" s="87"/>
      <c r="BC125" s="87"/>
      <c r="BD125" s="87"/>
      <c r="BE125" s="87"/>
      <c r="BF125" s="87"/>
      <c r="BG125" s="87"/>
      <c r="BH125" s="87"/>
      <c r="BI125" s="87"/>
      <c r="BJ125" s="87"/>
      <c r="BK125" s="87"/>
      <c r="BL125" s="87"/>
      <c r="BM125" s="87"/>
      <c r="BN125" s="87"/>
      <c r="BO125" s="87"/>
      <c r="BP125" s="87"/>
      <c r="BQ125" s="87"/>
      <c r="BR125" s="87"/>
      <c r="BS125" s="87"/>
      <c r="BT125" s="87"/>
      <c r="BU125" s="87"/>
      <c r="BV125" s="87"/>
      <c r="BW125" s="87"/>
    </row>
    <row r="126" spans="1:75" ht="18.75">
      <c r="A126" s="7" t="s">
        <v>145</v>
      </c>
      <c r="B126" s="89">
        <v>380</v>
      </c>
      <c r="C126" s="42">
        <v>1546.2</v>
      </c>
      <c r="D126" s="42">
        <v>342.3</v>
      </c>
      <c r="E126" s="67">
        <v>635.29999999999995</v>
      </c>
      <c r="F126" s="64">
        <f>1242.9+169</f>
        <v>1411.9</v>
      </c>
      <c r="G126" s="64">
        <v>226.6</v>
      </c>
      <c r="H126" s="64"/>
      <c r="I126" s="64"/>
      <c r="J126" s="109">
        <v>219</v>
      </c>
      <c r="K126" s="42">
        <f>1723.3+133.5</f>
        <v>1856.8</v>
      </c>
      <c r="L126" s="123">
        <f t="shared" si="13"/>
        <v>6238.1</v>
      </c>
      <c r="M126" s="42">
        <v>49.2</v>
      </c>
      <c r="N126" s="138">
        <f t="shared" si="14"/>
        <v>2273.8000000000002</v>
      </c>
      <c r="O126" s="125">
        <v>132.6</v>
      </c>
      <c r="P126" s="109">
        <f t="shared" si="15"/>
        <v>2406.4</v>
      </c>
      <c r="Q126" s="155">
        <f t="shared" si="11"/>
        <v>16.416</v>
      </c>
      <c r="R126" s="39">
        <f t="shared" si="12"/>
        <v>6.3326315789473684</v>
      </c>
      <c r="S126" s="128">
        <f t="shared" si="16"/>
        <v>0.79747388875394698</v>
      </c>
      <c r="T126" s="154">
        <f t="shared" si="17"/>
        <v>6287.3</v>
      </c>
      <c r="U126" s="85"/>
      <c r="W126" s="77"/>
    </row>
    <row r="127" spans="1:75" s="107" customFormat="1" ht="18.75">
      <c r="A127" s="120">
        <v>209</v>
      </c>
      <c r="B127" s="106">
        <v>317</v>
      </c>
      <c r="C127" s="42">
        <v>1546.2</v>
      </c>
      <c r="D127" s="42">
        <v>342.3</v>
      </c>
      <c r="E127" s="68">
        <v>813.1</v>
      </c>
      <c r="F127" s="66">
        <f>1642.5+175.8</f>
        <v>1818.3</v>
      </c>
      <c r="G127" s="66">
        <v>227.7</v>
      </c>
      <c r="H127" s="66"/>
      <c r="I127" s="66"/>
      <c r="J127" s="98">
        <v>219</v>
      </c>
      <c r="K127" s="44">
        <f>1794.3+139</f>
        <v>1933.3</v>
      </c>
      <c r="L127" s="123">
        <f t="shared" si="13"/>
        <v>6899.9</v>
      </c>
      <c r="M127" s="42">
        <v>57.5</v>
      </c>
      <c r="N127" s="138">
        <f t="shared" si="14"/>
        <v>2859.1</v>
      </c>
      <c r="O127" s="125">
        <v>163.1</v>
      </c>
      <c r="P127" s="109">
        <f t="shared" si="15"/>
        <v>3022.2</v>
      </c>
      <c r="Q127" s="155">
        <f t="shared" si="11"/>
        <v>21.765999999999998</v>
      </c>
      <c r="R127" s="39">
        <f t="shared" si="12"/>
        <v>9.5337539432176648</v>
      </c>
      <c r="S127" s="157">
        <f t="shared" si="16"/>
        <v>1.0573718727228563</v>
      </c>
      <c r="T127" s="154">
        <f t="shared" si="17"/>
        <v>6957.4</v>
      </c>
      <c r="U127" s="85"/>
      <c r="V127" s="80"/>
      <c r="W127" s="77"/>
      <c r="X127" s="80"/>
      <c r="Y127" s="80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  <c r="BU127" s="87"/>
      <c r="BV127" s="87"/>
      <c r="BW127" s="87"/>
    </row>
    <row r="128" spans="1:75" s="107" customFormat="1" ht="18.75">
      <c r="A128" s="120">
        <v>210</v>
      </c>
      <c r="B128" s="106">
        <v>159</v>
      </c>
      <c r="C128" s="42">
        <v>1053.7</v>
      </c>
      <c r="D128" s="42">
        <v>233.3</v>
      </c>
      <c r="E128" s="68">
        <v>537.1</v>
      </c>
      <c r="F128" s="66">
        <f>1175.7</f>
        <v>1175.7</v>
      </c>
      <c r="G128" s="66">
        <v>92.8</v>
      </c>
      <c r="H128" s="66"/>
      <c r="I128" s="66"/>
      <c r="J128" s="98">
        <v>174</v>
      </c>
      <c r="K128" s="44">
        <f>869.1+67.3</f>
        <v>936.4</v>
      </c>
      <c r="L128" s="123">
        <f t="shared" si="13"/>
        <v>4203</v>
      </c>
      <c r="M128" s="42">
        <v>53.7</v>
      </c>
      <c r="N128" s="138">
        <f t="shared" si="14"/>
        <v>1805.6000000000001</v>
      </c>
      <c r="O128" s="125">
        <v>110</v>
      </c>
      <c r="P128" s="109">
        <f t="shared" si="15"/>
        <v>1915.6000000000001</v>
      </c>
      <c r="Q128" s="155">
        <f t="shared" si="11"/>
        <v>26.434000000000001</v>
      </c>
      <c r="R128" s="39">
        <f t="shared" si="12"/>
        <v>12.047798742138365</v>
      </c>
      <c r="S128" s="157">
        <f t="shared" si="16"/>
        <v>1.2841389361185329</v>
      </c>
      <c r="T128" s="154">
        <f t="shared" si="17"/>
        <v>4256.7</v>
      </c>
      <c r="U128" s="85"/>
      <c r="V128" s="80"/>
      <c r="W128" s="77"/>
      <c r="X128" s="80"/>
      <c r="Y128" s="80"/>
      <c r="Z128" s="87"/>
      <c r="AA128" s="87"/>
      <c r="AB128" s="87"/>
      <c r="AC128" s="87"/>
      <c r="AD128" s="87"/>
      <c r="AE128" s="87"/>
      <c r="AF128" s="87"/>
      <c r="AG128" s="87"/>
      <c r="AH128" s="87"/>
      <c r="AI128" s="87"/>
      <c r="AJ128" s="87"/>
      <c r="AK128" s="87"/>
      <c r="AL128" s="87"/>
      <c r="AM128" s="87"/>
      <c r="AN128" s="87"/>
      <c r="AO128" s="87"/>
      <c r="AP128" s="87"/>
      <c r="AQ128" s="87"/>
      <c r="AR128" s="87"/>
      <c r="AS128" s="87"/>
      <c r="AT128" s="87"/>
      <c r="AU128" s="87"/>
      <c r="AV128" s="87"/>
      <c r="AW128" s="87"/>
      <c r="AX128" s="87"/>
      <c r="AY128" s="87"/>
      <c r="AZ128" s="87"/>
      <c r="BA128" s="87"/>
      <c r="BB128" s="87"/>
      <c r="BC128" s="87"/>
      <c r="BD128" s="87"/>
      <c r="BE128" s="87"/>
      <c r="BF128" s="87"/>
      <c r="BG128" s="87"/>
      <c r="BH128" s="87"/>
      <c r="BI128" s="87"/>
      <c r="BJ128" s="87"/>
      <c r="BK128" s="87"/>
      <c r="BL128" s="87"/>
      <c r="BM128" s="87"/>
      <c r="BN128" s="87"/>
      <c r="BO128" s="87"/>
      <c r="BP128" s="87"/>
      <c r="BQ128" s="87"/>
      <c r="BR128" s="87"/>
      <c r="BS128" s="87"/>
      <c r="BT128" s="87"/>
      <c r="BU128" s="87"/>
      <c r="BV128" s="87"/>
      <c r="BW128" s="87"/>
    </row>
    <row r="129" spans="1:25" ht="18.75" hidden="1">
      <c r="A129" s="7" t="s">
        <v>146</v>
      </c>
      <c r="B129" s="89">
        <v>199</v>
      </c>
      <c r="C129" s="42">
        <v>959.9</v>
      </c>
      <c r="D129" s="42">
        <v>212.5</v>
      </c>
      <c r="E129" s="67">
        <v>425.7</v>
      </c>
      <c r="F129" s="64">
        <v>827.5</v>
      </c>
      <c r="G129" s="64">
        <v>89.2</v>
      </c>
      <c r="H129" s="64"/>
      <c r="I129" s="64"/>
      <c r="J129" s="109">
        <v>154</v>
      </c>
      <c r="K129" s="42">
        <f>1001.6+77.6</f>
        <v>1079.2</v>
      </c>
      <c r="L129" s="123">
        <f t="shared" si="13"/>
        <v>3748</v>
      </c>
      <c r="M129" s="42">
        <v>30.1</v>
      </c>
      <c r="N129" s="138">
        <f t="shared" si="14"/>
        <v>1342.4</v>
      </c>
      <c r="O129" s="125">
        <v>123.9</v>
      </c>
      <c r="P129" s="109">
        <f t="shared" si="15"/>
        <v>1466.3000000000002</v>
      </c>
      <c r="Q129" s="39">
        <f t="shared" si="11"/>
        <v>18.834</v>
      </c>
      <c r="R129" s="39">
        <f t="shared" si="12"/>
        <v>7.3683417085427143</v>
      </c>
      <c r="S129" s="128">
        <f t="shared" si="16"/>
        <v>0.91493806169540925</v>
      </c>
      <c r="T129" s="92">
        <f t="shared" si="17"/>
        <v>3778.1</v>
      </c>
      <c r="U129" s="85"/>
      <c r="W129" s="77"/>
    </row>
    <row r="130" spans="1:25" ht="18.75">
      <c r="A130" s="7" t="s">
        <v>147</v>
      </c>
      <c r="B130" s="89">
        <v>367</v>
      </c>
      <c r="C130" s="42">
        <v>1475.8</v>
      </c>
      <c r="D130" s="42">
        <v>326.8</v>
      </c>
      <c r="E130" s="67">
        <v>615.6</v>
      </c>
      <c r="F130" s="64">
        <f>1601.4+194.8</f>
        <v>1796.2</v>
      </c>
      <c r="G130" s="64">
        <v>303.89999999999998</v>
      </c>
      <c r="H130" s="64"/>
      <c r="I130" s="64"/>
      <c r="J130" s="109">
        <v>207</v>
      </c>
      <c r="K130" s="42">
        <f>1458+112.9</f>
        <v>1570.9</v>
      </c>
      <c r="L130" s="123">
        <f t="shared" si="13"/>
        <v>6296.2</v>
      </c>
      <c r="M130" s="42">
        <v>118</v>
      </c>
      <c r="N130" s="138">
        <f t="shared" si="14"/>
        <v>2715.7000000000003</v>
      </c>
      <c r="O130" s="125">
        <v>171.3</v>
      </c>
      <c r="P130" s="109">
        <f t="shared" si="15"/>
        <v>2887.0000000000005</v>
      </c>
      <c r="Q130" s="155">
        <f t="shared" si="11"/>
        <v>17.155999999999999</v>
      </c>
      <c r="R130" s="39">
        <f t="shared" si="12"/>
        <v>7.8664850136239792</v>
      </c>
      <c r="S130" s="128">
        <f t="shared" si="16"/>
        <v>0.83342239494777737</v>
      </c>
      <c r="T130" s="154">
        <f t="shared" si="17"/>
        <v>6414.2</v>
      </c>
      <c r="U130" s="85"/>
      <c r="W130" s="77"/>
    </row>
    <row r="131" spans="1:25" ht="18.75">
      <c r="A131" s="7" t="s">
        <v>148</v>
      </c>
      <c r="B131" s="89">
        <v>446</v>
      </c>
      <c r="C131" s="42">
        <v>1522.7</v>
      </c>
      <c r="D131" s="42">
        <v>337.1</v>
      </c>
      <c r="E131" s="67">
        <v>895.9</v>
      </c>
      <c r="F131" s="64">
        <f>1579.3+204.5</f>
        <v>1783.8</v>
      </c>
      <c r="G131" s="64">
        <v>397.5</v>
      </c>
      <c r="H131" s="64"/>
      <c r="I131" s="64"/>
      <c r="J131" s="109">
        <v>219</v>
      </c>
      <c r="K131" s="42">
        <f>2165.1+167.7</f>
        <v>2332.7999999999997</v>
      </c>
      <c r="L131" s="123">
        <f t="shared" si="13"/>
        <v>7488.8</v>
      </c>
      <c r="M131" s="42">
        <v>47.4</v>
      </c>
      <c r="N131" s="138">
        <f t="shared" si="14"/>
        <v>3077.2</v>
      </c>
      <c r="O131" s="125">
        <v>169.1</v>
      </c>
      <c r="P131" s="109">
        <f t="shared" si="15"/>
        <v>3246.2999999999997</v>
      </c>
      <c r="Q131" s="155">
        <f t="shared" si="11"/>
        <v>16.791</v>
      </c>
      <c r="R131" s="39">
        <f t="shared" si="12"/>
        <v>7.2786995515695061</v>
      </c>
      <c r="S131" s="128">
        <f t="shared" si="16"/>
        <v>0.81569103716298275</v>
      </c>
      <c r="T131" s="154">
        <f t="shared" si="17"/>
        <v>7536.2</v>
      </c>
      <c r="U131" s="85"/>
      <c r="W131" s="77"/>
    </row>
    <row r="132" spans="1:25" ht="18.75">
      <c r="A132" s="7" t="s">
        <v>149</v>
      </c>
      <c r="B132" s="89">
        <v>400</v>
      </c>
      <c r="C132" s="42">
        <v>1569.6</v>
      </c>
      <c r="D132" s="42">
        <v>347.5</v>
      </c>
      <c r="E132" s="67">
        <v>609</v>
      </c>
      <c r="F132" s="64">
        <f>1216.9+143.1</f>
        <v>1360</v>
      </c>
      <c r="G132" s="64">
        <v>355</v>
      </c>
      <c r="H132" s="64"/>
      <c r="I132" s="64"/>
      <c r="J132" s="109">
        <v>219</v>
      </c>
      <c r="K132" s="42">
        <f>1854.3+143.6</f>
        <v>1997.8999999999999</v>
      </c>
      <c r="L132" s="123">
        <f t="shared" si="13"/>
        <v>6458</v>
      </c>
      <c r="M132" s="42">
        <v>55.2</v>
      </c>
      <c r="N132" s="138">
        <f t="shared" si="14"/>
        <v>2324</v>
      </c>
      <c r="O132" s="125">
        <v>139.19999999999999</v>
      </c>
      <c r="P132" s="109">
        <f t="shared" si="15"/>
        <v>2463.1999999999998</v>
      </c>
      <c r="Q132" s="155">
        <f t="shared" si="11"/>
        <v>16.145</v>
      </c>
      <c r="R132" s="39">
        <f t="shared" si="12"/>
        <v>6.1579999999999995</v>
      </c>
      <c r="S132" s="128">
        <f t="shared" si="16"/>
        <v>0.78430896283701723</v>
      </c>
      <c r="T132" s="154">
        <f t="shared" si="17"/>
        <v>6513.2</v>
      </c>
      <c r="U132" s="85"/>
      <c r="W132" s="77"/>
    </row>
    <row r="133" spans="1:25" ht="18.75">
      <c r="A133" s="7" t="s">
        <v>150</v>
      </c>
      <c r="B133" s="89">
        <v>448</v>
      </c>
      <c r="C133" s="42">
        <v>1577.4</v>
      </c>
      <c r="D133" s="42">
        <v>349.3</v>
      </c>
      <c r="E133" s="67">
        <v>1140.2</v>
      </c>
      <c r="F133" s="64">
        <v>1814.7</v>
      </c>
      <c r="G133" s="64">
        <v>247.2</v>
      </c>
      <c r="H133" s="64"/>
      <c r="I133" s="64"/>
      <c r="J133" s="109">
        <v>219</v>
      </c>
      <c r="K133" s="42">
        <f>1956.1+151.4</f>
        <v>2107.5</v>
      </c>
      <c r="L133" s="123">
        <f t="shared" si="13"/>
        <v>7455.3</v>
      </c>
      <c r="M133" s="42">
        <v>39.6</v>
      </c>
      <c r="N133" s="138">
        <f t="shared" si="14"/>
        <v>3202.1</v>
      </c>
      <c r="O133" s="125">
        <v>135.19999999999999</v>
      </c>
      <c r="P133" s="109">
        <f t="shared" si="15"/>
        <v>3337.2999999999997</v>
      </c>
      <c r="Q133" s="155">
        <f t="shared" si="11"/>
        <v>16.640999999999998</v>
      </c>
      <c r="R133" s="39">
        <f t="shared" si="12"/>
        <v>7.4493303571428564</v>
      </c>
      <c r="S133" s="128">
        <f t="shared" si="16"/>
        <v>0.80840417779936835</v>
      </c>
      <c r="T133" s="154">
        <f t="shared" si="17"/>
        <v>7494.9000000000005</v>
      </c>
      <c r="U133" s="85"/>
      <c r="W133" s="77"/>
    </row>
    <row r="134" spans="1:25" ht="18.75" hidden="1">
      <c r="A134" s="7" t="s">
        <v>151</v>
      </c>
      <c r="B134" s="89">
        <v>366</v>
      </c>
      <c r="C134" s="42">
        <v>1358.6</v>
      </c>
      <c r="D134" s="42">
        <v>300.8</v>
      </c>
      <c r="E134" s="67">
        <v>540.29999999999995</v>
      </c>
      <c r="F134" s="64">
        <f>1163.3+149.8</f>
        <v>1313.1</v>
      </c>
      <c r="G134" s="64">
        <v>189.4</v>
      </c>
      <c r="H134" s="64"/>
      <c r="I134" s="64"/>
      <c r="J134" s="109">
        <v>199</v>
      </c>
      <c r="K134" s="42">
        <f>1843.4+142.7</f>
        <v>1986.1000000000001</v>
      </c>
      <c r="L134" s="123">
        <f t="shared" si="13"/>
        <v>5887.3</v>
      </c>
      <c r="M134" s="42">
        <v>33.4</v>
      </c>
      <c r="N134" s="138">
        <f t="shared" si="14"/>
        <v>2042.8</v>
      </c>
      <c r="O134" s="125">
        <v>135.4</v>
      </c>
      <c r="P134" s="109">
        <f t="shared" si="15"/>
        <v>2178.1999999999998</v>
      </c>
      <c r="Q134" s="39">
        <f t="shared" si="11"/>
        <v>16.085999999999999</v>
      </c>
      <c r="R134" s="39">
        <f t="shared" si="12"/>
        <v>5.9513661202185784</v>
      </c>
      <c r="S134" s="128">
        <f t="shared" si="16"/>
        <v>0.78144279815399553</v>
      </c>
      <c r="T134" s="92">
        <f t="shared" si="17"/>
        <v>5920.7</v>
      </c>
      <c r="U134" s="85"/>
      <c r="W134" s="77"/>
    </row>
    <row r="135" spans="1:25" ht="18.75">
      <c r="A135" s="7" t="s">
        <v>152</v>
      </c>
      <c r="B135" s="89">
        <v>444</v>
      </c>
      <c r="C135" s="42">
        <v>1569.6</v>
      </c>
      <c r="D135" s="42">
        <v>347.5</v>
      </c>
      <c r="E135" s="67">
        <v>653.70000000000005</v>
      </c>
      <c r="F135" s="64">
        <f>1392.3+197.6</f>
        <v>1589.8999999999999</v>
      </c>
      <c r="G135" s="64">
        <v>222</v>
      </c>
      <c r="H135" s="64"/>
      <c r="I135" s="64"/>
      <c r="J135" s="109">
        <v>219</v>
      </c>
      <c r="K135" s="42">
        <f>2114.2+163.7</f>
        <v>2277.8999999999996</v>
      </c>
      <c r="L135" s="123">
        <f t="shared" si="13"/>
        <v>6879.6</v>
      </c>
      <c r="M135" s="42">
        <v>34.299999999999997</v>
      </c>
      <c r="N135" s="138">
        <f t="shared" si="14"/>
        <v>2465.6</v>
      </c>
      <c r="O135" s="125">
        <v>170</v>
      </c>
      <c r="P135" s="109">
        <f t="shared" si="15"/>
        <v>2635.6</v>
      </c>
      <c r="Q135" s="155">
        <f t="shared" si="11"/>
        <v>15.494999999999999</v>
      </c>
      <c r="R135" s="39">
        <f t="shared" si="12"/>
        <v>5.936036036036036</v>
      </c>
      <c r="S135" s="128">
        <f t="shared" si="16"/>
        <v>0.75273257226135526</v>
      </c>
      <c r="T135" s="154">
        <f t="shared" si="17"/>
        <v>6913.9000000000005</v>
      </c>
      <c r="U135" s="85"/>
      <c r="W135" s="77"/>
    </row>
    <row r="136" spans="1:25" ht="18.75" hidden="1">
      <c r="A136" s="7" t="s">
        <v>153</v>
      </c>
      <c r="B136" s="89">
        <v>370</v>
      </c>
      <c r="C136" s="42">
        <v>1288.2</v>
      </c>
      <c r="D136" s="42">
        <v>285.2</v>
      </c>
      <c r="E136" s="67">
        <v>772.7</v>
      </c>
      <c r="F136" s="64">
        <v>1382.1</v>
      </c>
      <c r="G136" s="64">
        <v>211.7</v>
      </c>
      <c r="H136" s="64"/>
      <c r="I136" s="64"/>
      <c r="J136" s="109">
        <v>199</v>
      </c>
      <c r="K136" s="42">
        <f>1518+117.5</f>
        <v>1635.5</v>
      </c>
      <c r="L136" s="123">
        <f t="shared" si="13"/>
        <v>5774.4</v>
      </c>
      <c r="M136" s="42">
        <v>39.4</v>
      </c>
      <c r="N136" s="138">
        <f t="shared" si="14"/>
        <v>2366.5</v>
      </c>
      <c r="O136" s="125">
        <v>136</v>
      </c>
      <c r="P136" s="109">
        <f t="shared" si="15"/>
        <v>2502.5</v>
      </c>
      <c r="Q136" s="39">
        <f t="shared" si="11"/>
        <v>15.606</v>
      </c>
      <c r="R136" s="39">
        <f t="shared" si="12"/>
        <v>6.7635135135135132</v>
      </c>
      <c r="S136" s="128">
        <f t="shared" si="16"/>
        <v>0.75812484819042991</v>
      </c>
      <c r="T136" s="92">
        <f t="shared" si="17"/>
        <v>5813.7999999999993</v>
      </c>
      <c r="U136" s="85"/>
      <c r="W136" s="77"/>
    </row>
    <row r="137" spans="1:25" ht="18.75" hidden="1">
      <c r="A137" s="7" t="s">
        <v>266</v>
      </c>
      <c r="B137" s="89">
        <v>333</v>
      </c>
      <c r="C137" s="6">
        <v>1335.1</v>
      </c>
      <c r="D137" s="110">
        <v>295.60000000000002</v>
      </c>
      <c r="E137" s="67">
        <v>556.70000000000005</v>
      </c>
      <c r="F137" s="64">
        <v>68</v>
      </c>
      <c r="G137" s="64">
        <v>187.6</v>
      </c>
      <c r="H137" s="64">
        <v>367.7</v>
      </c>
      <c r="I137" s="64"/>
      <c r="J137" s="109">
        <v>187</v>
      </c>
      <c r="K137" s="42">
        <f>1327.1+102.7</f>
        <v>1429.8</v>
      </c>
      <c r="L137" s="123">
        <f t="shared" si="13"/>
        <v>4427.5</v>
      </c>
      <c r="M137" s="42">
        <v>31.6</v>
      </c>
      <c r="N137" s="138">
        <f t="shared" si="14"/>
        <v>1180</v>
      </c>
      <c r="O137" s="125">
        <v>110.5</v>
      </c>
      <c r="P137" s="109">
        <f t="shared" si="15"/>
        <v>1290.5</v>
      </c>
      <c r="Q137" s="39">
        <f t="shared" si="11"/>
        <v>13.295999999999999</v>
      </c>
      <c r="R137" s="39">
        <f t="shared" si="12"/>
        <v>3.8753753753753752</v>
      </c>
      <c r="S137" s="128">
        <f t="shared" si="16"/>
        <v>0.64590721399076989</v>
      </c>
      <c r="T137" s="92">
        <f t="shared" si="17"/>
        <v>4459.1000000000004</v>
      </c>
      <c r="U137" s="85"/>
      <c r="W137" s="77"/>
    </row>
    <row r="138" spans="1:25" ht="18.75" hidden="1">
      <c r="A138" s="122" t="s">
        <v>160</v>
      </c>
      <c r="B138" s="89">
        <v>175</v>
      </c>
      <c r="C138" s="42">
        <v>873.9</v>
      </c>
      <c r="D138" s="42">
        <v>193.5</v>
      </c>
      <c r="E138" s="63">
        <v>438.8</v>
      </c>
      <c r="F138" s="63">
        <v>218.7</v>
      </c>
      <c r="G138" s="63">
        <v>86.7</v>
      </c>
      <c r="H138" s="69"/>
      <c r="I138" s="69"/>
      <c r="J138" s="42">
        <v>154</v>
      </c>
      <c r="K138" s="42">
        <f>808.9+62.7</f>
        <v>871.6</v>
      </c>
      <c r="L138" s="123">
        <f t="shared" si="13"/>
        <v>2837.2</v>
      </c>
      <c r="M138" s="6">
        <v>42.6</v>
      </c>
      <c r="N138" s="138">
        <f t="shared" si="14"/>
        <v>744.2</v>
      </c>
      <c r="O138" s="125">
        <v>91.5</v>
      </c>
      <c r="P138" s="109">
        <f t="shared" si="15"/>
        <v>835.7</v>
      </c>
      <c r="Q138" s="39">
        <f t="shared" si="11"/>
        <v>16.213000000000001</v>
      </c>
      <c r="R138" s="39">
        <f t="shared" si="12"/>
        <v>4.7754285714285718</v>
      </c>
      <c r="S138" s="128">
        <f t="shared" si="16"/>
        <v>0.78761233908185568</v>
      </c>
      <c r="T138" s="92">
        <f t="shared" si="17"/>
        <v>2879.7999999999997</v>
      </c>
      <c r="U138" s="85"/>
      <c r="W138" s="77"/>
      <c r="X138" s="77"/>
      <c r="Y138" s="77"/>
    </row>
    <row r="139" spans="1:25" ht="18.75" hidden="1">
      <c r="A139" s="122" t="s">
        <v>158</v>
      </c>
      <c r="B139" s="89">
        <v>103</v>
      </c>
      <c r="C139" s="42">
        <v>733.2</v>
      </c>
      <c r="D139" s="42">
        <v>162.30000000000001</v>
      </c>
      <c r="E139" s="63">
        <v>411.3</v>
      </c>
      <c r="F139" s="63">
        <v>332.5</v>
      </c>
      <c r="G139" s="63">
        <v>39.700000000000003</v>
      </c>
      <c r="H139" s="69"/>
      <c r="I139" s="69"/>
      <c r="J139" s="42">
        <v>130</v>
      </c>
      <c r="K139" s="42">
        <f>514.5+39.8</f>
        <v>554.29999999999995</v>
      </c>
      <c r="L139" s="123">
        <f t="shared" si="13"/>
        <v>2363.3000000000002</v>
      </c>
      <c r="M139" s="6">
        <v>158</v>
      </c>
      <c r="N139" s="138">
        <f t="shared" si="14"/>
        <v>783.5</v>
      </c>
      <c r="O139" s="125">
        <v>112.7</v>
      </c>
      <c r="P139" s="109">
        <f t="shared" si="15"/>
        <v>896.2</v>
      </c>
      <c r="Q139" s="39">
        <f t="shared" si="11"/>
        <v>22.945</v>
      </c>
      <c r="R139" s="39">
        <f t="shared" si="12"/>
        <v>8.7009708737864084</v>
      </c>
      <c r="S139" s="157">
        <f t="shared" si="16"/>
        <v>1.1146465873208646</v>
      </c>
      <c r="T139" s="92">
        <f t="shared" si="17"/>
        <v>2521.3000000000002</v>
      </c>
      <c r="U139" s="85"/>
      <c r="W139" s="77"/>
      <c r="X139" s="77"/>
      <c r="Y139" s="77"/>
    </row>
    <row r="140" spans="1:25" ht="18.75" hidden="1">
      <c r="A140" s="122" t="s">
        <v>154</v>
      </c>
      <c r="B140" s="89">
        <v>411</v>
      </c>
      <c r="C140" s="42">
        <v>1116.2</v>
      </c>
      <c r="D140" s="42">
        <v>247.1</v>
      </c>
      <c r="E140" s="63">
        <v>684.4</v>
      </c>
      <c r="F140" s="63">
        <f>936.2+191.3</f>
        <v>1127.5</v>
      </c>
      <c r="G140" s="63">
        <v>182.7</v>
      </c>
      <c r="H140" s="69"/>
      <c r="I140" s="69"/>
      <c r="J140" s="42">
        <v>199</v>
      </c>
      <c r="K140" s="42">
        <f>1881.5+145.8</f>
        <v>2027.3</v>
      </c>
      <c r="L140" s="123">
        <f t="shared" si="13"/>
        <v>5584.2</v>
      </c>
      <c r="M140" s="6">
        <v>81.599999999999994</v>
      </c>
      <c r="N140" s="138">
        <f t="shared" si="14"/>
        <v>1994.6000000000001</v>
      </c>
      <c r="O140" s="125">
        <v>152.9</v>
      </c>
      <c r="P140" s="109">
        <f t="shared" si="15"/>
        <v>2147.5</v>
      </c>
      <c r="Q140" s="39">
        <f t="shared" si="11"/>
        <v>13.587</v>
      </c>
      <c r="R140" s="39">
        <f t="shared" si="12"/>
        <v>5.2250608272506085</v>
      </c>
      <c r="S140" s="128">
        <f t="shared" si="16"/>
        <v>0.6600437211561816</v>
      </c>
      <c r="T140" s="92">
        <f t="shared" si="17"/>
        <v>5665.8</v>
      </c>
      <c r="U140" s="85"/>
      <c r="W140" s="77"/>
      <c r="X140" s="77"/>
      <c r="Y140" s="77"/>
    </row>
    <row r="141" spans="1:25" ht="18.75" hidden="1">
      <c r="A141" s="122" t="s">
        <v>155</v>
      </c>
      <c r="B141" s="89">
        <v>348</v>
      </c>
      <c r="C141" s="42">
        <v>1092.8</v>
      </c>
      <c r="D141" s="42">
        <v>242</v>
      </c>
      <c r="E141" s="63">
        <v>458.4</v>
      </c>
      <c r="F141" s="63">
        <v>950</v>
      </c>
      <c r="G141" s="63">
        <v>112.1</v>
      </c>
      <c r="H141" s="69"/>
      <c r="I141" s="69"/>
      <c r="J141" s="42">
        <v>177</v>
      </c>
      <c r="K141" s="42">
        <f>1828.9+141.5</f>
        <v>1970.4</v>
      </c>
      <c r="L141" s="123">
        <f t="shared" si="13"/>
        <v>5002.7</v>
      </c>
      <c r="M141" s="6">
        <v>85.4</v>
      </c>
      <c r="N141" s="138">
        <f t="shared" si="14"/>
        <v>1520.5</v>
      </c>
      <c r="O141" s="125">
        <v>123.2</v>
      </c>
      <c r="P141" s="109">
        <f t="shared" si="15"/>
        <v>1643.7</v>
      </c>
      <c r="Q141" s="39">
        <f t="shared" si="11"/>
        <v>14.375999999999999</v>
      </c>
      <c r="R141" s="39">
        <f t="shared" si="12"/>
        <v>4.7232758620689657</v>
      </c>
      <c r="S141" s="128">
        <f t="shared" si="16"/>
        <v>0.69837260140879276</v>
      </c>
      <c r="T141" s="92">
        <f t="shared" si="17"/>
        <v>5088.0999999999995</v>
      </c>
      <c r="U141" s="85"/>
      <c r="W141" s="77"/>
      <c r="X141" s="77"/>
      <c r="Y141" s="77"/>
    </row>
    <row r="142" spans="1:25" ht="18.75" hidden="1">
      <c r="A142" s="122" t="s">
        <v>156</v>
      </c>
      <c r="B142" s="89">
        <v>233</v>
      </c>
      <c r="C142" s="42">
        <v>834.8</v>
      </c>
      <c r="D142" s="42">
        <v>184.8</v>
      </c>
      <c r="E142" s="63">
        <v>314.3</v>
      </c>
      <c r="F142" s="63">
        <v>733.2</v>
      </c>
      <c r="G142" s="64">
        <v>67</v>
      </c>
      <c r="H142" s="69"/>
      <c r="I142" s="69"/>
      <c r="J142" s="42">
        <v>154</v>
      </c>
      <c r="K142" s="42">
        <f>999.8+77.4</f>
        <v>1077.2</v>
      </c>
      <c r="L142" s="123">
        <f t="shared" si="13"/>
        <v>3365.3</v>
      </c>
      <c r="M142" s="6">
        <v>100</v>
      </c>
      <c r="N142" s="138">
        <f t="shared" si="14"/>
        <v>1114.5</v>
      </c>
      <c r="O142" s="125">
        <v>110</v>
      </c>
      <c r="P142" s="109">
        <f t="shared" si="15"/>
        <v>1224.5</v>
      </c>
      <c r="Q142" s="39">
        <f t="shared" si="11"/>
        <v>14.443</v>
      </c>
      <c r="R142" s="39">
        <f t="shared" si="12"/>
        <v>5.255364806866953</v>
      </c>
      <c r="S142" s="128">
        <f t="shared" si="16"/>
        <v>0.70162739859120715</v>
      </c>
      <c r="T142" s="92">
        <f t="shared" si="17"/>
        <v>3465.3</v>
      </c>
      <c r="U142" s="85"/>
      <c r="W142" s="77"/>
      <c r="X142" s="77"/>
      <c r="Y142" s="77"/>
    </row>
    <row r="143" spans="1:25" ht="18.75">
      <c r="A143" s="120">
        <v>186</v>
      </c>
      <c r="B143" s="106">
        <v>348</v>
      </c>
      <c r="C143" s="44">
        <v>1186.5999999999999</v>
      </c>
      <c r="D143" s="44">
        <v>262.7</v>
      </c>
      <c r="E143" s="65">
        <v>1008.5</v>
      </c>
      <c r="F143" s="65">
        <f>2040.7+216.3</f>
        <v>2257</v>
      </c>
      <c r="G143" s="65">
        <v>162.9</v>
      </c>
      <c r="H143" s="70"/>
      <c r="I143" s="70"/>
      <c r="J143" s="44">
        <v>295</v>
      </c>
      <c r="K143" s="44">
        <f>1772.4+158.6</f>
        <v>1931</v>
      </c>
      <c r="L143" s="123">
        <f t="shared" si="13"/>
        <v>7103.7</v>
      </c>
      <c r="M143" s="97">
        <v>252.5</v>
      </c>
      <c r="N143" s="138">
        <f t="shared" si="14"/>
        <v>3428.4</v>
      </c>
      <c r="O143" s="125">
        <v>174.5</v>
      </c>
      <c r="P143" s="109">
        <f t="shared" si="15"/>
        <v>3602.9</v>
      </c>
      <c r="Q143" s="155">
        <f t="shared" si="11"/>
        <v>20.413</v>
      </c>
      <c r="R143" s="39">
        <f t="shared" si="12"/>
        <v>10.35316091954023</v>
      </c>
      <c r="S143" s="128">
        <f t="shared" si="16"/>
        <v>0.99164440126305564</v>
      </c>
      <c r="T143" s="154">
        <f t="shared" si="17"/>
        <v>7356.2</v>
      </c>
      <c r="U143" s="85"/>
      <c r="W143" s="77"/>
      <c r="X143" s="77"/>
      <c r="Y143" s="77"/>
    </row>
    <row r="144" spans="1:25" ht="18.75">
      <c r="A144" s="7" t="s">
        <v>162</v>
      </c>
      <c r="B144" s="89">
        <v>414</v>
      </c>
      <c r="C144" s="42">
        <v>1546.2</v>
      </c>
      <c r="D144" s="42">
        <v>342.3</v>
      </c>
      <c r="E144" s="63">
        <v>877.6</v>
      </c>
      <c r="F144" s="63">
        <f>1834.8+246.8</f>
        <v>2081.6</v>
      </c>
      <c r="G144" s="63">
        <v>344.7</v>
      </c>
      <c r="H144" s="69"/>
      <c r="I144" s="69"/>
      <c r="J144" s="6">
        <v>219</v>
      </c>
      <c r="K144" s="42">
        <f>1807+139.9</f>
        <v>1946.9</v>
      </c>
      <c r="L144" s="123">
        <f t="shared" si="13"/>
        <v>7358.3</v>
      </c>
      <c r="M144" s="6">
        <v>76.7</v>
      </c>
      <c r="N144" s="138">
        <f t="shared" si="14"/>
        <v>3303.8999999999996</v>
      </c>
      <c r="O144" s="125">
        <v>118.6</v>
      </c>
      <c r="P144" s="109">
        <f t="shared" si="15"/>
        <v>3422.4999999999995</v>
      </c>
      <c r="Q144" s="155">
        <f t="shared" si="11"/>
        <v>17.774000000000001</v>
      </c>
      <c r="R144" s="39">
        <f t="shared" si="12"/>
        <v>8.2669082125603861</v>
      </c>
      <c r="S144" s="128">
        <f t="shared" si="16"/>
        <v>0.86344425552586834</v>
      </c>
      <c r="T144" s="154">
        <f t="shared" si="17"/>
        <v>7435</v>
      </c>
      <c r="U144" s="85"/>
      <c r="W144" s="77"/>
      <c r="X144" s="77"/>
      <c r="Y144" s="77"/>
    </row>
    <row r="145" spans="1:75" ht="18.75" hidden="1">
      <c r="A145" s="122" t="s">
        <v>157</v>
      </c>
      <c r="B145" s="89">
        <v>401</v>
      </c>
      <c r="C145" s="42">
        <v>1378.5</v>
      </c>
      <c r="D145" s="42">
        <v>295.3</v>
      </c>
      <c r="E145" s="63">
        <v>802.3</v>
      </c>
      <c r="F145" s="63">
        <v>1105.7</v>
      </c>
      <c r="G145" s="63">
        <v>134.69999999999999</v>
      </c>
      <c r="H145" s="69"/>
      <c r="I145" s="69"/>
      <c r="J145" s="42">
        <v>208</v>
      </c>
      <c r="K145" s="42">
        <v>1607</v>
      </c>
      <c r="L145" s="123">
        <f t="shared" si="13"/>
        <v>5531.5</v>
      </c>
      <c r="M145" s="6">
        <v>210</v>
      </c>
      <c r="N145" s="138">
        <f t="shared" si="14"/>
        <v>2042.7</v>
      </c>
      <c r="O145" s="125">
        <v>152.9</v>
      </c>
      <c r="P145" s="109">
        <f t="shared" si="15"/>
        <v>2195.6</v>
      </c>
      <c r="Q145" s="39">
        <f t="shared" si="11"/>
        <v>13.794</v>
      </c>
      <c r="R145" s="39">
        <f t="shared" si="12"/>
        <v>5.4753117206982544</v>
      </c>
      <c r="S145" s="128">
        <f t="shared" si="16"/>
        <v>0.67009958707796935</v>
      </c>
      <c r="T145" s="92">
        <f>L145+M145</f>
        <v>5741.5</v>
      </c>
      <c r="U145" s="85"/>
      <c r="W145" s="77"/>
      <c r="X145" s="77"/>
      <c r="Y145" s="77"/>
    </row>
    <row r="146" spans="1:75" ht="18.75" hidden="1">
      <c r="A146" s="122" t="s">
        <v>159</v>
      </c>
      <c r="B146" s="89">
        <v>162</v>
      </c>
      <c r="C146" s="42">
        <v>866.1</v>
      </c>
      <c r="D146" s="42">
        <v>191.8</v>
      </c>
      <c r="E146" s="63">
        <v>196.5</v>
      </c>
      <c r="F146" s="63">
        <v>418.3</v>
      </c>
      <c r="G146" s="63">
        <v>69.7</v>
      </c>
      <c r="H146" s="69"/>
      <c r="I146" s="69"/>
      <c r="J146" s="42">
        <v>154</v>
      </c>
      <c r="K146" s="42">
        <f>867.1+67.1</f>
        <v>934.2</v>
      </c>
      <c r="L146" s="123">
        <f t="shared" si="13"/>
        <v>2830.6</v>
      </c>
      <c r="M146" s="6">
        <v>53.8</v>
      </c>
      <c r="N146" s="138">
        <f t="shared" si="14"/>
        <v>684.5</v>
      </c>
      <c r="O146" s="125">
        <v>137.80000000000001</v>
      </c>
      <c r="P146" s="109">
        <f t="shared" si="15"/>
        <v>822.3</v>
      </c>
      <c r="Q146" s="39">
        <f t="shared" ref="Q146:Q147" si="18">ROUND(L146/B146,3)</f>
        <v>17.472999999999999</v>
      </c>
      <c r="R146" s="39">
        <f t="shared" ref="R146:R148" si="19">P146/B146</f>
        <v>5.075925925925926</v>
      </c>
      <c r="S146" s="128">
        <f t="shared" si="16"/>
        <v>0.8488219577362156</v>
      </c>
      <c r="T146" s="92">
        <f t="shared" si="17"/>
        <v>2884.4</v>
      </c>
      <c r="U146" s="85"/>
      <c r="W146" s="77"/>
      <c r="X146" s="77"/>
      <c r="Y146" s="77"/>
    </row>
    <row r="147" spans="1:75" ht="18.75" hidden="1">
      <c r="A147" s="122" t="s">
        <v>161</v>
      </c>
      <c r="B147" s="89">
        <v>372</v>
      </c>
      <c r="C147" s="42">
        <v>1288.7</v>
      </c>
      <c r="D147" s="42">
        <v>285.3</v>
      </c>
      <c r="E147" s="63">
        <v>749.9</v>
      </c>
      <c r="F147" s="63">
        <v>1153</v>
      </c>
      <c r="G147" s="63">
        <v>203.2</v>
      </c>
      <c r="H147" s="69"/>
      <c r="I147" s="69"/>
      <c r="J147" s="42">
        <v>199</v>
      </c>
      <c r="K147" s="42">
        <f>1863.3+144.2</f>
        <v>2007.5</v>
      </c>
      <c r="L147" s="123">
        <f t="shared" ref="L147:L148" si="20">ROUND(C147+D147+H147+J147+K147+F147+G147+E147,1)</f>
        <v>5886.6</v>
      </c>
      <c r="M147" s="6">
        <v>907.8</v>
      </c>
      <c r="N147" s="138">
        <f>E147+F147+G147+H147+I147</f>
        <v>2106.1</v>
      </c>
      <c r="O147" s="125">
        <v>129.19999999999999</v>
      </c>
      <c r="P147" s="109">
        <f t="shared" ref="P147:P148" si="21">N147+O147</f>
        <v>2235.2999999999997</v>
      </c>
      <c r="Q147" s="39">
        <f t="shared" si="18"/>
        <v>15.824</v>
      </c>
      <c r="R147" s="39">
        <f t="shared" si="19"/>
        <v>6.0088709677419345</v>
      </c>
      <c r="S147" s="128">
        <f>Q147/20.585</f>
        <v>0.76871508379888265</v>
      </c>
      <c r="T147" s="92">
        <f t="shared" ref="T147:T148" si="22">L147+M147</f>
        <v>6794.4000000000005</v>
      </c>
      <c r="U147" s="85"/>
      <c r="W147" s="77"/>
      <c r="X147" s="77"/>
      <c r="Y147" s="77"/>
    </row>
    <row r="148" spans="1:75" ht="18.75" hidden="1">
      <c r="A148" s="122" t="s">
        <v>291</v>
      </c>
      <c r="B148" s="89"/>
      <c r="C148" s="42">
        <v>928.6</v>
      </c>
      <c r="D148" s="42">
        <v>204.9</v>
      </c>
      <c r="E148" s="63"/>
      <c r="F148" s="63"/>
      <c r="G148" s="63"/>
      <c r="H148" s="69"/>
      <c r="I148" s="69"/>
      <c r="J148" s="42"/>
      <c r="K148" s="42">
        <v>2788.6</v>
      </c>
      <c r="L148" s="123">
        <f t="shared" si="20"/>
        <v>3922.1</v>
      </c>
      <c r="M148" s="6"/>
      <c r="N148" s="138">
        <f t="shared" ref="N148" si="23">E148+F148+G148+H148+I148</f>
        <v>0</v>
      </c>
      <c r="O148" s="125">
        <v>0</v>
      </c>
      <c r="P148" s="109">
        <f t="shared" si="21"/>
        <v>0</v>
      </c>
      <c r="Q148" s="39"/>
      <c r="R148" s="39" t="e">
        <f t="shared" si="19"/>
        <v>#DIV/0!</v>
      </c>
      <c r="S148" s="128">
        <f>Q148/20.585</f>
        <v>0</v>
      </c>
      <c r="T148" s="92">
        <f t="shared" si="22"/>
        <v>3922.1</v>
      </c>
      <c r="U148" s="85"/>
      <c r="W148" s="77"/>
      <c r="X148" s="77"/>
      <c r="Y148" s="77"/>
    </row>
    <row r="149" spans="1:75" s="114" customFormat="1" ht="15.75" hidden="1">
      <c r="A149" s="111" t="s">
        <v>263</v>
      </c>
      <c r="B149" s="112">
        <f t="shared" ref="B149:J149" si="24">SUM(B17:B148)</f>
        <v>30745</v>
      </c>
      <c r="C149" s="112">
        <f t="shared" si="24"/>
        <v>136892.60000000003</v>
      </c>
      <c r="D149" s="112">
        <f t="shared" si="24"/>
        <v>30465.999999999978</v>
      </c>
      <c r="E149" s="112">
        <f t="shared" si="24"/>
        <v>60770.100000000013</v>
      </c>
      <c r="F149" s="112">
        <f t="shared" si="24"/>
        <v>110280.00000000004</v>
      </c>
      <c r="G149" s="112">
        <f t="shared" si="24"/>
        <v>14943.100000000006</v>
      </c>
      <c r="H149" s="112">
        <f t="shared" si="24"/>
        <v>395.3</v>
      </c>
      <c r="I149" s="112">
        <f t="shared" si="24"/>
        <v>67.599999999999994</v>
      </c>
      <c r="J149" s="112">
        <f t="shared" si="24"/>
        <v>22577.599999999999</v>
      </c>
      <c r="K149" s="112">
        <f>SUM(K17:K148)</f>
        <v>163343.09999999998</v>
      </c>
      <c r="L149" s="112">
        <f t="shared" ref="L149:M149" si="25">SUM(L17:L148)</f>
        <v>539311.39999999979</v>
      </c>
      <c r="M149" s="112">
        <f t="shared" si="25"/>
        <v>6870.2999999999993</v>
      </c>
      <c r="N149" s="112">
        <f>SUM(N17:N148)</f>
        <v>186456.1</v>
      </c>
      <c r="O149" s="112">
        <f>SUM(O17:O148)</f>
        <v>16232.699999999997</v>
      </c>
      <c r="P149" s="112">
        <f>N149+O149</f>
        <v>202688.8</v>
      </c>
      <c r="Q149" s="140">
        <f>ROUND(L149/B149,4)</f>
        <v>17.541399999999999</v>
      </c>
      <c r="R149" s="39">
        <f>P149/B149</f>
        <v>6.592577654903236</v>
      </c>
      <c r="S149" s="112"/>
      <c r="T149" s="112">
        <f>SUM(T17:T148)</f>
        <v>546181.70000000007</v>
      </c>
      <c r="U149" s="113"/>
      <c r="V149" s="80"/>
      <c r="W149" s="80"/>
      <c r="X149" s="80"/>
      <c r="Y149" s="80"/>
      <c r="Z149" s="87"/>
      <c r="AA149" s="87"/>
      <c r="AB149" s="87"/>
      <c r="AC149" s="87"/>
      <c r="AD149" s="87"/>
      <c r="AE149" s="87"/>
      <c r="AF149" s="87"/>
      <c r="AG149" s="87"/>
      <c r="AH149" s="87"/>
      <c r="AI149" s="87"/>
      <c r="AJ149" s="87"/>
      <c r="AK149" s="87"/>
      <c r="AL149" s="87"/>
      <c r="AM149" s="87"/>
      <c r="AN149" s="87"/>
      <c r="AO149" s="87"/>
      <c r="AP149" s="87"/>
      <c r="AQ149" s="87"/>
      <c r="AR149" s="87"/>
      <c r="AS149" s="87"/>
      <c r="AT149" s="87"/>
      <c r="AU149" s="87"/>
      <c r="AV149" s="87"/>
      <c r="AW149" s="87"/>
      <c r="AX149" s="87"/>
      <c r="AY149" s="87"/>
      <c r="AZ149" s="87"/>
      <c r="BA149" s="87"/>
      <c r="BB149" s="87"/>
      <c r="BC149" s="87"/>
      <c r="BD149" s="87"/>
      <c r="BE149" s="87"/>
      <c r="BF149" s="87"/>
      <c r="BG149" s="87"/>
      <c r="BH149" s="87"/>
      <c r="BI149" s="87"/>
      <c r="BJ149" s="87"/>
      <c r="BK149" s="87"/>
      <c r="BL149" s="87"/>
      <c r="BM149" s="87"/>
      <c r="BN149" s="87"/>
      <c r="BO149" s="87"/>
      <c r="BP149" s="87"/>
      <c r="BQ149" s="87"/>
      <c r="BR149" s="87"/>
      <c r="BS149" s="87"/>
      <c r="BT149" s="87"/>
      <c r="BU149" s="87"/>
      <c r="BV149" s="87"/>
      <c r="BW149" s="87"/>
    </row>
    <row r="150" spans="1:75" hidden="1">
      <c r="A150" s="89"/>
      <c r="B150" s="89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122"/>
      <c r="O150" s="7"/>
      <c r="P150" s="7"/>
      <c r="Q150" s="7"/>
      <c r="R150" s="7"/>
      <c r="S150" s="21"/>
      <c r="T150" s="39"/>
    </row>
    <row r="151" spans="1:75" hidden="1">
      <c r="A151" s="6"/>
      <c r="B151" s="115"/>
      <c r="C151" s="7"/>
      <c r="D151" s="7"/>
      <c r="E151" s="7"/>
      <c r="F151" s="7"/>
      <c r="G151" s="7"/>
      <c r="H151" s="7"/>
      <c r="I151" s="7"/>
      <c r="J151" s="7"/>
      <c r="K151" s="7"/>
      <c r="L151" s="7"/>
      <c r="M151" s="7"/>
      <c r="N151" s="122"/>
      <c r="O151" s="7"/>
      <c r="P151" s="7"/>
      <c r="Q151" s="7"/>
      <c r="R151" s="7"/>
      <c r="S151" s="21">
        <v>20.585000000000001</v>
      </c>
      <c r="T151" s="39"/>
    </row>
    <row r="152" spans="1:75" hidden="1">
      <c r="C152" s="95"/>
      <c r="D152" s="95"/>
      <c r="E152" s="95"/>
      <c r="F152" s="95"/>
      <c r="G152" s="95"/>
      <c r="H152" s="95"/>
      <c r="I152" s="95"/>
      <c r="J152" s="95"/>
      <c r="K152" s="95"/>
      <c r="M152" s="95"/>
      <c r="S152" s="141">
        <f>T149/B149</f>
        <v>17.764895104895107</v>
      </c>
      <c r="T152" s="116">
        <v>546181.69999999995</v>
      </c>
      <c r="V152" s="117"/>
    </row>
    <row r="153" spans="1:75" hidden="1">
      <c r="L153" s="118"/>
      <c r="N153" s="133"/>
      <c r="T153" s="116">
        <f>T152-T149</f>
        <v>0</v>
      </c>
    </row>
    <row r="154" spans="1:75" hidden="1">
      <c r="S154" s="127">
        <v>17.509</v>
      </c>
      <c r="T154" s="116"/>
    </row>
    <row r="155" spans="1:75" hidden="1">
      <c r="S155" s="127" t="s">
        <v>311</v>
      </c>
      <c r="T155" s="116"/>
    </row>
    <row r="156" spans="1:75" hidden="1">
      <c r="T156" s="116"/>
    </row>
    <row r="157" spans="1:75" hidden="1">
      <c r="T157" s="116"/>
    </row>
    <row r="158" spans="1:75" ht="18.75">
      <c r="A158" s="111" t="s">
        <v>340</v>
      </c>
      <c r="B158" s="112">
        <f>B52+B56+B57+B60+B106+B111+B123+B126+B127+B128+B130+B131+B132+B133+B135+B143+B144</f>
        <v>6556</v>
      </c>
      <c r="C158" s="112">
        <f t="shared" ref="C158:P158" si="26">C52+C56+C57+C60+C106+C111+C123+C126+C127+C128+C130+C131+C132+C133+C135+C143+C144</f>
        <v>24315</v>
      </c>
      <c r="D158" s="112">
        <f t="shared" si="26"/>
        <v>5383.4000000000005</v>
      </c>
      <c r="E158" s="112">
        <f t="shared" si="26"/>
        <v>13155.600000000004</v>
      </c>
      <c r="F158" s="112">
        <f t="shared" si="26"/>
        <v>27163.200000000001</v>
      </c>
      <c r="G158" s="112">
        <f t="shared" si="26"/>
        <v>4096.3999999999996</v>
      </c>
      <c r="H158" s="112">
        <f t="shared" si="26"/>
        <v>0</v>
      </c>
      <c r="I158" s="112">
        <f t="shared" si="26"/>
        <v>0</v>
      </c>
      <c r="J158" s="112">
        <f t="shared" si="26"/>
        <v>3938</v>
      </c>
      <c r="K158" s="112">
        <f t="shared" si="26"/>
        <v>32809.9</v>
      </c>
      <c r="L158" s="112">
        <f t="shared" si="26"/>
        <v>110861.50000000001</v>
      </c>
      <c r="M158" s="112">
        <f t="shared" si="26"/>
        <v>1209.9000000000001</v>
      </c>
      <c r="N158" s="112">
        <f t="shared" si="26"/>
        <v>44415.200000000004</v>
      </c>
      <c r="O158" s="112">
        <f t="shared" si="26"/>
        <v>2508.6999999999994</v>
      </c>
      <c r="P158" s="112">
        <f t="shared" si="26"/>
        <v>46923.9</v>
      </c>
      <c r="Q158" s="39">
        <f>ROUND(L158/B158,3)</f>
        <v>16.91</v>
      </c>
      <c r="R158" s="39">
        <f>P158/B158</f>
        <v>7.1573978035387436</v>
      </c>
      <c r="S158" s="157">
        <f t="shared" ref="S158" si="27">Q158/20.585</f>
        <v>0.82147194559145009</v>
      </c>
      <c r="T158" s="112">
        <f t="shared" ref="T158" si="28">T52+T56+T57+T60+T106+T111+T123+T126+T127+T128+T130+T131+T132+T133+T135+T143+T144</f>
        <v>112071.39999999998</v>
      </c>
    </row>
    <row r="161" spans="1:20">
      <c r="A161" s="207" t="s">
        <v>274</v>
      </c>
      <c r="B161" s="207"/>
    </row>
    <row r="162" spans="1:20" ht="120">
      <c r="A162" s="4" t="s">
        <v>11</v>
      </c>
      <c r="B162" s="4" t="s">
        <v>260</v>
      </c>
      <c r="C162" s="71">
        <v>211</v>
      </c>
      <c r="D162" s="71">
        <v>213</v>
      </c>
      <c r="E162" s="71" t="s">
        <v>13</v>
      </c>
      <c r="F162" s="71" t="s">
        <v>267</v>
      </c>
      <c r="G162" s="71" t="s">
        <v>12</v>
      </c>
      <c r="H162" s="71" t="s">
        <v>14</v>
      </c>
      <c r="I162" s="71" t="s">
        <v>269</v>
      </c>
      <c r="J162" s="71" t="s">
        <v>15</v>
      </c>
      <c r="K162" s="73" t="s">
        <v>261</v>
      </c>
      <c r="L162" s="82" t="s">
        <v>262</v>
      </c>
      <c r="M162" s="139" t="s">
        <v>310</v>
      </c>
      <c r="N162" s="142" t="s">
        <v>297</v>
      </c>
      <c r="O162" s="143" t="s">
        <v>298</v>
      </c>
      <c r="P162" s="137" t="s">
        <v>312</v>
      </c>
      <c r="Q162" s="147" t="s">
        <v>307</v>
      </c>
      <c r="R162" s="146" t="s">
        <v>309</v>
      </c>
      <c r="S162" s="8" t="s">
        <v>313</v>
      </c>
      <c r="T162" s="43" t="s">
        <v>293</v>
      </c>
    </row>
    <row r="163" spans="1:20" ht="18.75">
      <c r="A163" s="7" t="s">
        <v>89</v>
      </c>
      <c r="B163" s="89">
        <v>196</v>
      </c>
      <c r="C163" s="51">
        <v>973.4</v>
      </c>
      <c r="D163" s="51">
        <v>292.60000000000002</v>
      </c>
      <c r="E163" s="42">
        <v>582.70000000000005</v>
      </c>
      <c r="F163" s="42">
        <v>400.3</v>
      </c>
      <c r="G163" s="42">
        <v>118.5</v>
      </c>
      <c r="H163" s="64"/>
      <c r="I163" s="64"/>
      <c r="J163" s="108">
        <v>45.4</v>
      </c>
      <c r="K163" s="6">
        <v>1346.9</v>
      </c>
      <c r="L163" s="123">
        <f t="shared" ref="L163:L166" si="29">ROUND(C163+D163+H163+J163+K163+F163+G163+E163,1)</f>
        <v>3759.8</v>
      </c>
      <c r="M163" s="42">
        <v>21.3</v>
      </c>
      <c r="N163" s="39">
        <f t="shared" ref="N163:N166" si="30">E163+F163+G163+H163+I163</f>
        <v>1101.5</v>
      </c>
      <c r="O163" s="42">
        <v>45.4</v>
      </c>
      <c r="P163" s="92">
        <f t="shared" ref="P163:P166" si="31">N163+O163</f>
        <v>1146.9000000000001</v>
      </c>
      <c r="Q163" s="39">
        <f t="shared" ref="Q163:Q166" si="32">ROUND(L163/B163,3)</f>
        <v>19.183</v>
      </c>
      <c r="R163" s="144">
        <f t="shared" ref="R163:R166" si="33">P163/B163</f>
        <v>5.8515306122448987</v>
      </c>
      <c r="S163" s="128">
        <f t="shared" ref="S163:S166" si="34">Q163/20.585</f>
        <v>0.93189215448141849</v>
      </c>
      <c r="T163" s="145">
        <f t="shared" ref="T163:T166" si="35">L163+M163</f>
        <v>3781.1000000000004</v>
      </c>
    </row>
    <row r="164" spans="1:20" ht="18.75">
      <c r="A164" s="120">
        <v>226</v>
      </c>
      <c r="B164" s="106">
        <v>458</v>
      </c>
      <c r="C164" s="52">
        <v>1428.8</v>
      </c>
      <c r="D164" s="52">
        <v>429.6</v>
      </c>
      <c r="E164" s="42">
        <v>770.8</v>
      </c>
      <c r="F164" s="42">
        <v>499.3</v>
      </c>
      <c r="G164" s="42">
        <v>146.5</v>
      </c>
      <c r="H164" s="66"/>
      <c r="I164" s="66"/>
      <c r="J164" s="96">
        <v>58.7</v>
      </c>
      <c r="K164" s="97">
        <v>3156.7</v>
      </c>
      <c r="L164" s="123">
        <f t="shared" si="29"/>
        <v>6490.4</v>
      </c>
      <c r="M164" s="42">
        <v>48.9</v>
      </c>
      <c r="N164" s="39">
        <f t="shared" si="30"/>
        <v>1416.6</v>
      </c>
      <c r="O164" s="44">
        <v>58.7</v>
      </c>
      <c r="P164" s="92">
        <f t="shared" si="31"/>
        <v>1475.3</v>
      </c>
      <c r="Q164" s="39">
        <f t="shared" si="32"/>
        <v>14.170999999999999</v>
      </c>
      <c r="R164" s="144">
        <f t="shared" si="33"/>
        <v>3.22117903930131</v>
      </c>
      <c r="S164" s="128">
        <f t="shared" si="34"/>
        <v>0.68841389361185323</v>
      </c>
      <c r="T164" s="145">
        <f t="shared" si="35"/>
        <v>6539.2999999999993</v>
      </c>
    </row>
    <row r="165" spans="1:20" ht="18.75">
      <c r="A165" s="7" t="s">
        <v>92</v>
      </c>
      <c r="B165" s="89">
        <v>475</v>
      </c>
      <c r="C165" s="51">
        <v>1428.8</v>
      </c>
      <c r="D165" s="51">
        <v>429.6</v>
      </c>
      <c r="E165" s="42">
        <v>1050</v>
      </c>
      <c r="F165" s="42">
        <v>455.6</v>
      </c>
      <c r="G165" s="42">
        <v>232</v>
      </c>
      <c r="H165" s="64"/>
      <c r="I165" s="64"/>
      <c r="J165" s="108">
        <v>58.7</v>
      </c>
      <c r="K165" s="6">
        <v>3224.3</v>
      </c>
      <c r="L165" s="123">
        <f t="shared" si="29"/>
        <v>6879</v>
      </c>
      <c r="M165" s="42">
        <v>51.6</v>
      </c>
      <c r="N165" s="39">
        <f t="shared" si="30"/>
        <v>1737.6</v>
      </c>
      <c r="O165" s="42">
        <v>58.7</v>
      </c>
      <c r="P165" s="92">
        <f t="shared" si="31"/>
        <v>1796.3</v>
      </c>
      <c r="Q165" s="39">
        <f t="shared" si="32"/>
        <v>14.481999999999999</v>
      </c>
      <c r="R165" s="144">
        <f t="shared" si="33"/>
        <v>3.7816842105263158</v>
      </c>
      <c r="S165" s="128">
        <f t="shared" si="34"/>
        <v>0.70352198202574689</v>
      </c>
      <c r="T165" s="145">
        <f t="shared" si="35"/>
        <v>6930.6</v>
      </c>
    </row>
    <row r="166" spans="1:20" ht="18.75">
      <c r="A166" s="7" t="s">
        <v>94</v>
      </c>
      <c r="B166" s="89">
        <v>445</v>
      </c>
      <c r="C166" s="51">
        <v>1357</v>
      </c>
      <c r="D166" s="51">
        <v>408</v>
      </c>
      <c r="E166" s="42">
        <v>589.20000000000005</v>
      </c>
      <c r="F166" s="42">
        <v>538.20000000000005</v>
      </c>
      <c r="G166" s="42">
        <v>196.7</v>
      </c>
      <c r="H166" s="64"/>
      <c r="I166" s="64"/>
      <c r="J166" s="108">
        <v>58.7</v>
      </c>
      <c r="K166" s="6">
        <v>2774</v>
      </c>
      <c r="L166" s="123">
        <f t="shared" si="29"/>
        <v>5921.8</v>
      </c>
      <c r="M166" s="42">
        <v>48.9</v>
      </c>
      <c r="N166" s="39">
        <f t="shared" si="30"/>
        <v>1324.1000000000001</v>
      </c>
      <c r="O166" s="42">
        <v>58.7</v>
      </c>
      <c r="P166" s="92">
        <f t="shared" si="31"/>
        <v>1382.8000000000002</v>
      </c>
      <c r="Q166" s="39">
        <f t="shared" si="32"/>
        <v>13.307</v>
      </c>
      <c r="R166" s="144">
        <f t="shared" si="33"/>
        <v>3.1074157303370789</v>
      </c>
      <c r="S166" s="128">
        <f t="shared" si="34"/>
        <v>0.64644158367743498</v>
      </c>
      <c r="T166" s="145">
        <f t="shared" si="35"/>
        <v>5970.7</v>
      </c>
    </row>
    <row r="167" spans="1:20" ht="18.75">
      <c r="A167" s="7" t="s">
        <v>131</v>
      </c>
      <c r="B167" s="89">
        <v>488</v>
      </c>
      <c r="C167" s="42">
        <v>1636.7</v>
      </c>
      <c r="D167" s="42">
        <v>492.1</v>
      </c>
      <c r="E167" s="42">
        <v>880.4</v>
      </c>
      <c r="F167" s="42">
        <v>946.8</v>
      </c>
      <c r="G167" s="42">
        <v>383.4</v>
      </c>
      <c r="H167" s="64"/>
      <c r="I167" s="64"/>
      <c r="J167" s="109">
        <v>64.900000000000006</v>
      </c>
      <c r="K167" s="42">
        <v>3262.6</v>
      </c>
      <c r="L167" s="123">
        <f t="shared" ref="L167:L179" si="36">ROUND(C167+D167+H167+J167+K167+F167+G167+E167,1)</f>
        <v>7666.9</v>
      </c>
      <c r="M167" s="42">
        <v>63.6</v>
      </c>
      <c r="N167" s="39">
        <f t="shared" ref="N167:N179" si="37">E167+F167+G167+H167+I167</f>
        <v>2210.6</v>
      </c>
      <c r="O167" s="125">
        <v>64.900000000000006</v>
      </c>
      <c r="P167" s="92">
        <f t="shared" ref="P167:P179" si="38">N167+O167</f>
        <v>2275.5</v>
      </c>
      <c r="Q167" s="39">
        <f t="shared" ref="Q167:Q179" si="39">ROUND(L167/B167,3)</f>
        <v>15.711</v>
      </c>
      <c r="R167" s="144">
        <f t="shared" ref="R167:R179" si="40">P167/B167</f>
        <v>4.6629098360655741</v>
      </c>
      <c r="S167" s="128">
        <f t="shared" ref="S167:S179" si="41">Q167/20.585</f>
        <v>0.76322564974495988</v>
      </c>
      <c r="T167" s="145">
        <f t="shared" ref="T167:T179" si="42">L167+M167</f>
        <v>7730.5</v>
      </c>
    </row>
    <row r="168" spans="1:20" ht="18.75">
      <c r="A168" s="120">
        <v>94</v>
      </c>
      <c r="B168" s="106">
        <v>381</v>
      </c>
      <c r="C168" s="42">
        <v>1580.7</v>
      </c>
      <c r="D168" s="42">
        <v>475.2</v>
      </c>
      <c r="E168" s="42">
        <v>682.6</v>
      </c>
      <c r="F168" s="42">
        <v>833.19999999999993</v>
      </c>
      <c r="G168" s="42">
        <v>334.2</v>
      </c>
      <c r="H168" s="66"/>
      <c r="I168" s="66"/>
      <c r="J168" s="98">
        <v>58.7</v>
      </c>
      <c r="K168" s="44">
        <v>2608.8000000000002</v>
      </c>
      <c r="L168" s="123">
        <f t="shared" si="36"/>
        <v>6573.4</v>
      </c>
      <c r="M168" s="42">
        <v>70</v>
      </c>
      <c r="N168" s="39">
        <f t="shared" si="37"/>
        <v>1850</v>
      </c>
      <c r="O168" s="100">
        <v>58.7</v>
      </c>
      <c r="P168" s="92">
        <f t="shared" si="38"/>
        <v>1908.7</v>
      </c>
      <c r="Q168" s="39">
        <f t="shared" si="39"/>
        <v>17.253</v>
      </c>
      <c r="R168" s="144">
        <f t="shared" si="40"/>
        <v>5.0097112860892388</v>
      </c>
      <c r="S168" s="128">
        <f t="shared" si="41"/>
        <v>0.83813456400291475</v>
      </c>
      <c r="T168" s="145">
        <f t="shared" si="42"/>
        <v>6643.4</v>
      </c>
    </row>
    <row r="169" spans="1:20" ht="18.75">
      <c r="A169" s="7" t="s">
        <v>143</v>
      </c>
      <c r="B169" s="89">
        <v>390</v>
      </c>
      <c r="C169" s="42">
        <v>1532.8</v>
      </c>
      <c r="D169" s="42">
        <v>460.8</v>
      </c>
      <c r="E169" s="42">
        <v>774.6</v>
      </c>
      <c r="F169" s="42">
        <v>595.9</v>
      </c>
      <c r="G169" s="42">
        <v>197.2</v>
      </c>
      <c r="H169" s="64"/>
      <c r="I169" s="64"/>
      <c r="J169" s="109">
        <v>58.7</v>
      </c>
      <c r="K169" s="42">
        <v>2736.8</v>
      </c>
      <c r="L169" s="123">
        <f t="shared" si="36"/>
        <v>6356.8</v>
      </c>
      <c r="M169" s="42">
        <v>39.799999999999997</v>
      </c>
      <c r="N169" s="39">
        <f t="shared" si="37"/>
        <v>1567.7</v>
      </c>
      <c r="O169" s="125">
        <v>58.7</v>
      </c>
      <c r="P169" s="92">
        <f t="shared" si="38"/>
        <v>1626.4</v>
      </c>
      <c r="Q169" s="39">
        <f t="shared" si="39"/>
        <v>16.298999999999999</v>
      </c>
      <c r="R169" s="144">
        <f t="shared" si="40"/>
        <v>4.1702564102564104</v>
      </c>
      <c r="S169" s="128">
        <f t="shared" si="41"/>
        <v>0.79179013845032786</v>
      </c>
      <c r="T169" s="145">
        <f t="shared" si="42"/>
        <v>6396.6</v>
      </c>
    </row>
    <row r="170" spans="1:20" ht="18.75">
      <c r="A170" s="7" t="s">
        <v>145</v>
      </c>
      <c r="B170" s="89">
        <v>380</v>
      </c>
      <c r="C170" s="42">
        <v>1580.7</v>
      </c>
      <c r="D170" s="42">
        <v>475.2</v>
      </c>
      <c r="E170" s="42">
        <v>630.6</v>
      </c>
      <c r="F170" s="42">
        <v>634.4</v>
      </c>
      <c r="G170" s="42">
        <v>240.39999999999998</v>
      </c>
      <c r="H170" s="64"/>
      <c r="I170" s="64"/>
      <c r="J170" s="109">
        <v>58.7</v>
      </c>
      <c r="K170" s="42">
        <v>2595.4</v>
      </c>
      <c r="L170" s="123">
        <f t="shared" si="36"/>
        <v>6215.4</v>
      </c>
      <c r="M170" s="42">
        <v>39.799999999999997</v>
      </c>
      <c r="N170" s="39">
        <f t="shared" si="37"/>
        <v>1505.4</v>
      </c>
      <c r="O170" s="125">
        <v>58.7</v>
      </c>
      <c r="P170" s="92">
        <f t="shared" si="38"/>
        <v>1564.1000000000001</v>
      </c>
      <c r="Q170" s="39">
        <f t="shared" si="39"/>
        <v>16.356000000000002</v>
      </c>
      <c r="R170" s="144">
        <f t="shared" si="40"/>
        <v>4.1160526315789481</v>
      </c>
      <c r="S170" s="128">
        <f t="shared" si="41"/>
        <v>0.79455914500850133</v>
      </c>
      <c r="T170" s="145">
        <f t="shared" si="42"/>
        <v>6255.2</v>
      </c>
    </row>
    <row r="171" spans="1:20" ht="18.75">
      <c r="A171" s="120">
        <v>209</v>
      </c>
      <c r="B171" s="106">
        <v>317</v>
      </c>
      <c r="C171" s="42">
        <v>1580.7</v>
      </c>
      <c r="D171" s="42">
        <v>475.2</v>
      </c>
      <c r="E171" s="42">
        <v>807.2</v>
      </c>
      <c r="F171" s="42">
        <v>787.59999999999991</v>
      </c>
      <c r="G171" s="42">
        <v>241.5</v>
      </c>
      <c r="H171" s="66"/>
      <c r="I171" s="66"/>
      <c r="J171" s="98">
        <v>58.7</v>
      </c>
      <c r="K171" s="44">
        <v>2504.6999999999998</v>
      </c>
      <c r="L171" s="123">
        <f t="shared" si="36"/>
        <v>6455.6</v>
      </c>
      <c r="M171" s="42">
        <v>46.5</v>
      </c>
      <c r="N171" s="39">
        <f t="shared" si="37"/>
        <v>1836.3</v>
      </c>
      <c r="O171" s="100">
        <v>58.7</v>
      </c>
      <c r="P171" s="92">
        <f t="shared" si="38"/>
        <v>1895</v>
      </c>
      <c r="Q171" s="39">
        <f t="shared" si="39"/>
        <v>20.364999999999998</v>
      </c>
      <c r="R171" s="144">
        <f t="shared" si="40"/>
        <v>5.9779179810725553</v>
      </c>
      <c r="S171" s="128">
        <f t="shared" si="41"/>
        <v>0.98931260626669892</v>
      </c>
      <c r="T171" s="145">
        <f t="shared" si="42"/>
        <v>6502.1</v>
      </c>
    </row>
    <row r="172" spans="1:20" ht="18.75">
      <c r="A172" s="120">
        <v>210</v>
      </c>
      <c r="B172" s="106">
        <v>159</v>
      </c>
      <c r="C172" s="42">
        <v>1077.2</v>
      </c>
      <c r="D172" s="42">
        <v>323.89999999999998</v>
      </c>
      <c r="E172" s="42">
        <v>533.20000000000005</v>
      </c>
      <c r="F172" s="42">
        <v>455</v>
      </c>
      <c r="G172" s="42">
        <v>98.5</v>
      </c>
      <c r="H172" s="66"/>
      <c r="I172" s="66"/>
      <c r="J172" s="98">
        <v>45.4</v>
      </c>
      <c r="K172" s="44">
        <v>1232</v>
      </c>
      <c r="L172" s="123">
        <f t="shared" si="36"/>
        <v>3765.2</v>
      </c>
      <c r="M172" s="42">
        <v>43.4</v>
      </c>
      <c r="N172" s="39">
        <f t="shared" si="37"/>
        <v>1086.7</v>
      </c>
      <c r="O172" s="100">
        <v>45.4</v>
      </c>
      <c r="P172" s="92">
        <f t="shared" si="38"/>
        <v>1132.1000000000001</v>
      </c>
      <c r="Q172" s="39">
        <f t="shared" si="39"/>
        <v>23.681000000000001</v>
      </c>
      <c r="R172" s="144">
        <f t="shared" si="40"/>
        <v>7.1201257861635225</v>
      </c>
      <c r="S172" s="128">
        <f t="shared" si="41"/>
        <v>1.1504007772649987</v>
      </c>
      <c r="T172" s="145">
        <f t="shared" si="42"/>
        <v>3808.6</v>
      </c>
    </row>
    <row r="173" spans="1:20" ht="18.75">
      <c r="A173" s="7" t="s">
        <v>147</v>
      </c>
      <c r="B173" s="89">
        <v>367</v>
      </c>
      <c r="C173" s="42">
        <v>1508.8</v>
      </c>
      <c r="D173" s="42">
        <v>453.6</v>
      </c>
      <c r="E173" s="42">
        <v>611.1</v>
      </c>
      <c r="F173" s="42">
        <v>801.9</v>
      </c>
      <c r="G173" s="42">
        <v>322.39999999999998</v>
      </c>
      <c r="H173" s="64"/>
      <c r="I173" s="64"/>
      <c r="J173" s="109">
        <v>55.2</v>
      </c>
      <c r="K173" s="42">
        <v>2256.9</v>
      </c>
      <c r="L173" s="123">
        <f t="shared" si="36"/>
        <v>6009.9</v>
      </c>
      <c r="M173" s="42">
        <v>50.9</v>
      </c>
      <c r="N173" s="39">
        <f t="shared" si="37"/>
        <v>1735.4</v>
      </c>
      <c r="O173" s="125">
        <v>55.2</v>
      </c>
      <c r="P173" s="92">
        <f t="shared" si="38"/>
        <v>1790.6000000000001</v>
      </c>
      <c r="Q173" s="39">
        <f t="shared" si="39"/>
        <v>16.376000000000001</v>
      </c>
      <c r="R173" s="144">
        <f t="shared" si="40"/>
        <v>4.8790190735694825</v>
      </c>
      <c r="S173" s="128">
        <f t="shared" si="41"/>
        <v>0.79553072625698329</v>
      </c>
      <c r="T173" s="145">
        <f t="shared" si="42"/>
        <v>6060.7999999999993</v>
      </c>
    </row>
    <row r="174" spans="1:20" ht="18.75">
      <c r="A174" s="7" t="s">
        <v>148</v>
      </c>
      <c r="B174" s="89">
        <v>446</v>
      </c>
      <c r="C174" s="42">
        <v>1556.7</v>
      </c>
      <c r="D174" s="42">
        <v>468</v>
      </c>
      <c r="E174" s="42">
        <v>889.3</v>
      </c>
      <c r="F174" s="42">
        <v>804.5</v>
      </c>
      <c r="G174" s="42">
        <v>421.70000000000005</v>
      </c>
      <c r="H174" s="64"/>
      <c r="I174" s="64"/>
      <c r="J174" s="109">
        <v>58.7</v>
      </c>
      <c r="K174" s="42">
        <v>3134.5</v>
      </c>
      <c r="L174" s="123">
        <f t="shared" si="36"/>
        <v>7333.4</v>
      </c>
      <c r="M174" s="42">
        <v>38.299999999999997</v>
      </c>
      <c r="N174" s="39">
        <f t="shared" si="37"/>
        <v>2115.5</v>
      </c>
      <c r="O174" s="125">
        <v>58.7</v>
      </c>
      <c r="P174" s="92">
        <f t="shared" si="38"/>
        <v>2174.1999999999998</v>
      </c>
      <c r="Q174" s="39">
        <f t="shared" si="39"/>
        <v>16.443000000000001</v>
      </c>
      <c r="R174" s="144">
        <f t="shared" si="40"/>
        <v>4.8748878923766812</v>
      </c>
      <c r="S174" s="128">
        <f t="shared" si="41"/>
        <v>0.79878552343939768</v>
      </c>
      <c r="T174" s="145">
        <f t="shared" si="42"/>
        <v>7371.7</v>
      </c>
    </row>
    <row r="175" spans="1:20" ht="18.75">
      <c r="A175" s="7" t="s">
        <v>149</v>
      </c>
      <c r="B175" s="89">
        <v>400</v>
      </c>
      <c r="C175" s="42">
        <v>1604.7</v>
      </c>
      <c r="D175" s="42">
        <v>482.4</v>
      </c>
      <c r="E175" s="42">
        <v>604.6</v>
      </c>
      <c r="F175" s="42">
        <v>608.80000000000007</v>
      </c>
      <c r="G175" s="42">
        <v>376.6</v>
      </c>
      <c r="H175" s="64"/>
      <c r="I175" s="64"/>
      <c r="J175" s="109">
        <v>58.7</v>
      </c>
      <c r="K175" s="42">
        <v>2761.6</v>
      </c>
      <c r="L175" s="123">
        <f t="shared" si="36"/>
        <v>6497.4</v>
      </c>
      <c r="M175" s="42">
        <v>44.6</v>
      </c>
      <c r="N175" s="39">
        <f t="shared" si="37"/>
        <v>1590</v>
      </c>
      <c r="O175" s="125">
        <v>58.7</v>
      </c>
      <c r="P175" s="92">
        <f t="shared" si="38"/>
        <v>1648.7</v>
      </c>
      <c r="Q175" s="39">
        <f t="shared" si="39"/>
        <v>16.244</v>
      </c>
      <c r="R175" s="144">
        <f t="shared" si="40"/>
        <v>4.1217500000000005</v>
      </c>
      <c r="S175" s="128">
        <f t="shared" si="41"/>
        <v>0.78911829001700262</v>
      </c>
      <c r="T175" s="145">
        <f t="shared" si="42"/>
        <v>6542</v>
      </c>
    </row>
    <row r="176" spans="1:20" ht="18.75">
      <c r="A176" s="7" t="s">
        <v>150</v>
      </c>
      <c r="B176" s="89">
        <v>448</v>
      </c>
      <c r="C176" s="42">
        <v>1612.6</v>
      </c>
      <c r="D176" s="42">
        <v>484.8</v>
      </c>
      <c r="E176" s="42">
        <v>1131.8</v>
      </c>
      <c r="F176" s="42">
        <v>712.9</v>
      </c>
      <c r="G176" s="42">
        <v>262.3</v>
      </c>
      <c r="H176" s="64"/>
      <c r="I176" s="64"/>
      <c r="J176" s="109">
        <v>58.7</v>
      </c>
      <c r="K176" s="42">
        <v>2969.8</v>
      </c>
      <c r="L176" s="123">
        <f t="shared" si="36"/>
        <v>7232.9</v>
      </c>
      <c r="M176" s="42">
        <v>32</v>
      </c>
      <c r="N176" s="39">
        <f t="shared" si="37"/>
        <v>2107</v>
      </c>
      <c r="O176" s="125">
        <v>58.7</v>
      </c>
      <c r="P176" s="92">
        <f t="shared" si="38"/>
        <v>2165.6999999999998</v>
      </c>
      <c r="Q176" s="39">
        <f t="shared" si="39"/>
        <v>16.145</v>
      </c>
      <c r="R176" s="144">
        <f t="shared" si="40"/>
        <v>4.8341517857142851</v>
      </c>
      <c r="S176" s="128">
        <f t="shared" si="41"/>
        <v>0.78430896283701723</v>
      </c>
      <c r="T176" s="145">
        <f t="shared" si="42"/>
        <v>7264.9</v>
      </c>
    </row>
    <row r="177" spans="1:20" ht="18.75">
      <c r="A177" s="7" t="s">
        <v>152</v>
      </c>
      <c r="B177" s="89">
        <v>444</v>
      </c>
      <c r="C177" s="42">
        <v>1604.7</v>
      </c>
      <c r="D177" s="42">
        <v>482.4</v>
      </c>
      <c r="E177" s="42">
        <v>648.9</v>
      </c>
      <c r="F177" s="42">
        <v>712.2</v>
      </c>
      <c r="G177" s="42">
        <v>235.5</v>
      </c>
      <c r="H177" s="64"/>
      <c r="I177" s="64"/>
      <c r="J177" s="109">
        <v>58.7</v>
      </c>
      <c r="K177" s="42">
        <v>3096.9</v>
      </c>
      <c r="L177" s="123">
        <f t="shared" si="36"/>
        <v>6839.3</v>
      </c>
      <c r="M177" s="42">
        <v>27.7</v>
      </c>
      <c r="N177" s="39">
        <f t="shared" si="37"/>
        <v>1596.6</v>
      </c>
      <c r="O177" s="125">
        <v>58.7</v>
      </c>
      <c r="P177" s="92">
        <f t="shared" si="38"/>
        <v>1655.3</v>
      </c>
      <c r="Q177" s="39">
        <f t="shared" si="39"/>
        <v>15.404</v>
      </c>
      <c r="R177" s="144">
        <f t="shared" si="40"/>
        <v>3.7281531531531531</v>
      </c>
      <c r="S177" s="128">
        <f t="shared" si="41"/>
        <v>0.74831187758076267</v>
      </c>
      <c r="T177" s="145">
        <f t="shared" si="42"/>
        <v>6867</v>
      </c>
    </row>
    <row r="178" spans="1:20" ht="18.75">
      <c r="A178" s="120">
        <v>186</v>
      </c>
      <c r="B178" s="106">
        <v>348</v>
      </c>
      <c r="C178" s="42">
        <v>1213.0999999999999</v>
      </c>
      <c r="D178" s="42">
        <v>364.7</v>
      </c>
      <c r="E178" s="42">
        <v>1001.1</v>
      </c>
      <c r="F178" s="42">
        <v>978.7</v>
      </c>
      <c r="G178" s="42">
        <v>172.89999999999998</v>
      </c>
      <c r="H178" s="70"/>
      <c r="I178" s="70"/>
      <c r="J178" s="44">
        <v>64.900000000000006</v>
      </c>
      <c r="K178" s="44">
        <v>2536.1</v>
      </c>
      <c r="L178" s="123">
        <f t="shared" si="36"/>
        <v>6331.5</v>
      </c>
      <c r="M178" s="97">
        <v>154.6</v>
      </c>
      <c r="N178" s="39">
        <f t="shared" si="37"/>
        <v>2152.7000000000003</v>
      </c>
      <c r="O178" s="44">
        <v>64.900000000000006</v>
      </c>
      <c r="P178" s="92">
        <f t="shared" si="38"/>
        <v>2217.6000000000004</v>
      </c>
      <c r="Q178" s="39">
        <f t="shared" si="39"/>
        <v>18.193999999999999</v>
      </c>
      <c r="R178" s="144">
        <f t="shared" si="40"/>
        <v>6.3724137931034495</v>
      </c>
      <c r="S178" s="128">
        <f t="shared" si="41"/>
        <v>0.88384746174398821</v>
      </c>
      <c r="T178" s="145">
        <f t="shared" si="42"/>
        <v>6486.1</v>
      </c>
    </row>
    <row r="179" spans="1:20" ht="18.75">
      <c r="A179" s="7" t="s">
        <v>162</v>
      </c>
      <c r="B179" s="89">
        <v>414</v>
      </c>
      <c r="C179" s="42">
        <v>1580.7</v>
      </c>
      <c r="D179" s="42">
        <v>475.2</v>
      </c>
      <c r="E179" s="42">
        <v>871.1</v>
      </c>
      <c r="F179" s="42">
        <v>936.2</v>
      </c>
      <c r="G179" s="42">
        <v>365.70000000000005</v>
      </c>
      <c r="H179" s="69"/>
      <c r="I179" s="69"/>
      <c r="J179" s="6">
        <v>58.7</v>
      </c>
      <c r="K179" s="42">
        <v>2740.9</v>
      </c>
      <c r="L179" s="123">
        <f t="shared" si="36"/>
        <v>7028.5</v>
      </c>
      <c r="M179" s="6">
        <v>38.1</v>
      </c>
      <c r="N179" s="39">
        <f t="shared" si="37"/>
        <v>2173</v>
      </c>
      <c r="O179" s="7">
        <v>58.7</v>
      </c>
      <c r="P179" s="92">
        <f t="shared" si="38"/>
        <v>2231.6999999999998</v>
      </c>
      <c r="Q179" s="39">
        <f t="shared" si="39"/>
        <v>16.977</v>
      </c>
      <c r="R179" s="144">
        <f t="shared" si="40"/>
        <v>5.3905797101449275</v>
      </c>
      <c r="S179" s="128">
        <f t="shared" si="41"/>
        <v>0.82472674277386449</v>
      </c>
      <c r="T179" s="145">
        <f t="shared" si="42"/>
        <v>7066.6</v>
      </c>
    </row>
    <row r="180" spans="1:20" ht="18.75">
      <c r="A180" s="111" t="s">
        <v>263</v>
      </c>
      <c r="B180" s="112">
        <f t="shared" ref="B180:P180" si="43">SUM(B163:B179)</f>
        <v>6556</v>
      </c>
      <c r="C180" s="112">
        <f t="shared" si="43"/>
        <v>24858.1</v>
      </c>
      <c r="D180" s="112">
        <f t="shared" si="43"/>
        <v>7473.2999999999993</v>
      </c>
      <c r="E180" s="112">
        <f t="shared" si="43"/>
        <v>13059.2</v>
      </c>
      <c r="F180" s="112">
        <f t="shared" si="43"/>
        <v>11701.5</v>
      </c>
      <c r="G180" s="112">
        <f t="shared" si="43"/>
        <v>4346</v>
      </c>
      <c r="H180" s="112">
        <f t="shared" si="43"/>
        <v>0</v>
      </c>
      <c r="I180" s="112">
        <f t="shared" si="43"/>
        <v>0</v>
      </c>
      <c r="J180" s="112">
        <f t="shared" si="43"/>
        <v>980.20000000000016</v>
      </c>
      <c r="K180" s="112">
        <f t="shared" si="43"/>
        <v>44938.900000000009</v>
      </c>
      <c r="L180" s="112">
        <f t="shared" si="43"/>
        <v>107357.19999999998</v>
      </c>
      <c r="M180" s="112">
        <f t="shared" si="43"/>
        <v>860.00000000000011</v>
      </c>
      <c r="N180" s="112">
        <f t="shared" si="43"/>
        <v>29106.7</v>
      </c>
      <c r="O180" s="112">
        <f t="shared" si="43"/>
        <v>980.20000000000016</v>
      </c>
      <c r="P180" s="112">
        <f t="shared" si="43"/>
        <v>30086.900000000005</v>
      </c>
      <c r="Q180" s="39">
        <f>ROUND(L180/B180,3)</f>
        <v>16.375</v>
      </c>
      <c r="R180" s="144">
        <f>P180/B180</f>
        <v>4.5892159853569261</v>
      </c>
      <c r="S180" s="128">
        <f t="shared" ref="S180" si="44">Q180/20.585</f>
        <v>0.79548214719455912</v>
      </c>
      <c r="T180" s="112">
        <f>SUM(T163:T179)</f>
        <v>108217.2</v>
      </c>
    </row>
    <row r="183" spans="1:20">
      <c r="A183" s="207" t="s">
        <v>314</v>
      </c>
      <c r="B183" s="207"/>
      <c r="C183" s="78"/>
      <c r="D183" s="78"/>
      <c r="E183" s="79"/>
      <c r="F183" s="79"/>
      <c r="G183" s="79"/>
      <c r="H183" s="78"/>
      <c r="I183" s="78"/>
      <c r="J183" s="78"/>
      <c r="K183" s="78"/>
      <c r="L183" s="78"/>
      <c r="N183" s="25"/>
      <c r="R183" s="80"/>
      <c r="S183" s="80"/>
      <c r="T183" s="80"/>
    </row>
    <row r="184" spans="1:20" ht="120">
      <c r="A184" s="4" t="s">
        <v>11</v>
      </c>
      <c r="B184" s="4" t="s">
        <v>260</v>
      </c>
      <c r="C184" s="71">
        <v>211</v>
      </c>
      <c r="D184" s="71">
        <v>213</v>
      </c>
      <c r="E184" s="71" t="s">
        <v>13</v>
      </c>
      <c r="F184" s="71" t="s">
        <v>267</v>
      </c>
      <c r="G184" s="71" t="s">
        <v>12</v>
      </c>
      <c r="H184" s="71" t="s">
        <v>14</v>
      </c>
      <c r="I184" s="71" t="s">
        <v>269</v>
      </c>
      <c r="J184" s="71" t="s">
        <v>15</v>
      </c>
      <c r="K184" s="73" t="s">
        <v>261</v>
      </c>
      <c r="L184" s="82" t="s">
        <v>262</v>
      </c>
      <c r="M184" s="139" t="s">
        <v>310</v>
      </c>
      <c r="N184" s="142" t="s">
        <v>297</v>
      </c>
      <c r="O184" s="143" t="s">
        <v>298</v>
      </c>
      <c r="P184" s="137" t="s">
        <v>312</v>
      </c>
      <c r="Q184" s="147" t="s">
        <v>307</v>
      </c>
      <c r="R184" s="146" t="s">
        <v>309</v>
      </c>
      <c r="S184" s="8" t="s">
        <v>313</v>
      </c>
      <c r="T184" s="43" t="s">
        <v>293</v>
      </c>
    </row>
    <row r="185" spans="1:20" ht="18.75">
      <c r="A185" s="7" t="s">
        <v>89</v>
      </c>
      <c r="B185" s="89">
        <v>196</v>
      </c>
      <c r="C185" s="51">
        <v>1026.4000000000001</v>
      </c>
      <c r="D185" s="51">
        <v>310</v>
      </c>
      <c r="E185" s="42">
        <v>352.3</v>
      </c>
      <c r="F185" s="42">
        <v>72.099999999999994</v>
      </c>
      <c r="G185" s="42">
        <v>32.799999999999997</v>
      </c>
      <c r="H185" s="64"/>
      <c r="I185" s="64"/>
      <c r="J185" s="42">
        <v>26.6</v>
      </c>
      <c r="K185" s="42">
        <v>1804.6</v>
      </c>
      <c r="L185" s="123">
        <f t="shared" ref="L185:L188" si="45">ROUND(C185+D185+H185+J185+K185+F185+G185+E185,1)</f>
        <v>3624.8</v>
      </c>
      <c r="M185" s="42">
        <v>9.1999999999999993</v>
      </c>
      <c r="N185" s="39">
        <f t="shared" ref="N185:N188" si="46">E185+F185+G185+H185+I185</f>
        <v>457.2</v>
      </c>
      <c r="O185" s="42">
        <v>26.6</v>
      </c>
      <c r="P185" s="92">
        <f t="shared" ref="P185:P188" si="47">N185+O185</f>
        <v>483.8</v>
      </c>
      <c r="Q185" s="39">
        <f t="shared" ref="Q185:Q188" si="48">ROUND(L185/B185,3)</f>
        <v>18.494</v>
      </c>
      <c r="R185" s="144">
        <f t="shared" ref="R185:R188" si="49">P185/B185</f>
        <v>2.4683673469387757</v>
      </c>
      <c r="S185" s="128">
        <f t="shared" ref="S185:S188" si="50">Q185/20.585</f>
        <v>0.89842118047121688</v>
      </c>
      <c r="T185" s="145">
        <f t="shared" ref="T185:T188" si="51">L185+M185</f>
        <v>3634</v>
      </c>
    </row>
    <row r="186" spans="1:20" ht="18.75">
      <c r="A186" s="120">
        <v>226</v>
      </c>
      <c r="B186" s="106">
        <v>458</v>
      </c>
      <c r="C186" s="52">
        <v>1506.6</v>
      </c>
      <c r="D186" s="52">
        <v>455</v>
      </c>
      <c r="E186" s="42">
        <v>466</v>
      </c>
      <c r="F186" s="42">
        <v>177.3</v>
      </c>
      <c r="G186" s="42">
        <v>40.5</v>
      </c>
      <c r="H186" s="66"/>
      <c r="I186" s="66"/>
      <c r="J186" s="42">
        <v>34.4</v>
      </c>
      <c r="K186" s="42">
        <v>4218.8999999999996</v>
      </c>
      <c r="L186" s="123">
        <f t="shared" si="45"/>
        <v>6898.7</v>
      </c>
      <c r="M186" s="42">
        <v>21.2</v>
      </c>
      <c r="N186" s="39">
        <f t="shared" si="46"/>
        <v>683.8</v>
      </c>
      <c r="O186" s="42">
        <v>34.4</v>
      </c>
      <c r="P186" s="92">
        <f t="shared" si="47"/>
        <v>718.19999999999993</v>
      </c>
      <c r="Q186" s="39">
        <f t="shared" si="48"/>
        <v>15.063000000000001</v>
      </c>
      <c r="R186" s="144">
        <f t="shared" si="49"/>
        <v>1.5681222707423579</v>
      </c>
      <c r="S186" s="128">
        <f t="shared" si="50"/>
        <v>0.73174641729414625</v>
      </c>
      <c r="T186" s="145">
        <f t="shared" si="51"/>
        <v>6919.9</v>
      </c>
    </row>
    <row r="187" spans="1:20" ht="18.75">
      <c r="A187" s="7" t="s">
        <v>92</v>
      </c>
      <c r="B187" s="89">
        <v>475</v>
      </c>
      <c r="C187" s="51">
        <v>1506.6</v>
      </c>
      <c r="D187" s="51">
        <v>455</v>
      </c>
      <c r="E187" s="42">
        <v>634.79999999999995</v>
      </c>
      <c r="F187" s="42">
        <v>161.1</v>
      </c>
      <c r="G187" s="42">
        <v>64.099999999999994</v>
      </c>
      <c r="H187" s="64"/>
      <c r="I187" s="64"/>
      <c r="J187" s="42">
        <v>34.4</v>
      </c>
      <c r="K187" s="42">
        <v>4343.3999999999996</v>
      </c>
      <c r="L187" s="123">
        <f t="shared" si="45"/>
        <v>7199.4</v>
      </c>
      <c r="M187" s="42">
        <v>22.4</v>
      </c>
      <c r="N187" s="39">
        <f t="shared" si="46"/>
        <v>860</v>
      </c>
      <c r="O187" s="42">
        <v>34.4</v>
      </c>
      <c r="P187" s="92">
        <f t="shared" si="47"/>
        <v>894.4</v>
      </c>
      <c r="Q187" s="39">
        <f t="shared" si="48"/>
        <v>15.157</v>
      </c>
      <c r="R187" s="144">
        <f t="shared" si="49"/>
        <v>1.8829473684210525</v>
      </c>
      <c r="S187" s="128">
        <f t="shared" si="50"/>
        <v>0.73631284916201112</v>
      </c>
      <c r="T187" s="145">
        <f t="shared" si="51"/>
        <v>7221.7999999999993</v>
      </c>
    </row>
    <row r="188" spans="1:20" ht="18.75">
      <c r="A188" s="7" t="s">
        <v>94</v>
      </c>
      <c r="B188" s="89">
        <v>445</v>
      </c>
      <c r="C188" s="51">
        <v>1430.9</v>
      </c>
      <c r="D188" s="51">
        <v>432.1</v>
      </c>
      <c r="E188" s="42">
        <v>356.2</v>
      </c>
      <c r="F188" s="42">
        <v>97.1</v>
      </c>
      <c r="G188" s="42">
        <v>54.4</v>
      </c>
      <c r="H188" s="64"/>
      <c r="I188" s="64"/>
      <c r="J188" s="42">
        <v>34.4</v>
      </c>
      <c r="K188" s="42">
        <v>3777.1</v>
      </c>
      <c r="L188" s="123">
        <f t="shared" si="45"/>
        <v>6182.2</v>
      </c>
      <c r="M188" s="42">
        <v>21.2</v>
      </c>
      <c r="N188" s="39">
        <f t="shared" si="46"/>
        <v>507.69999999999993</v>
      </c>
      <c r="O188" s="42">
        <v>34.4</v>
      </c>
      <c r="P188" s="92">
        <f t="shared" si="47"/>
        <v>542.09999999999991</v>
      </c>
      <c r="Q188" s="39">
        <f t="shared" si="48"/>
        <v>13.893000000000001</v>
      </c>
      <c r="R188" s="144">
        <f t="shared" si="49"/>
        <v>1.218202247191011</v>
      </c>
      <c r="S188" s="128">
        <f t="shared" si="50"/>
        <v>0.67490891425795485</v>
      </c>
      <c r="T188" s="145">
        <f t="shared" si="51"/>
        <v>6203.4</v>
      </c>
    </row>
    <row r="189" spans="1:20" ht="18.75">
      <c r="A189" s="7" t="s">
        <v>131</v>
      </c>
      <c r="B189" s="89">
        <v>488</v>
      </c>
      <c r="C189" s="42">
        <v>1725.9</v>
      </c>
      <c r="D189" s="42">
        <v>521.20000000000005</v>
      </c>
      <c r="E189" s="42">
        <v>532.20000000000005</v>
      </c>
      <c r="F189" s="42">
        <v>342.79999999999995</v>
      </c>
      <c r="G189" s="42">
        <v>106</v>
      </c>
      <c r="H189" s="64"/>
      <c r="I189" s="64"/>
      <c r="J189" s="42">
        <v>38</v>
      </c>
      <c r="K189" s="42">
        <v>4426.8999999999996</v>
      </c>
      <c r="L189" s="123">
        <f t="shared" ref="L189:L201" si="52">ROUND(C189+D189+H189+J189+K189+F189+G189+E189,1)</f>
        <v>7693</v>
      </c>
      <c r="M189" s="42">
        <v>27.6</v>
      </c>
      <c r="N189" s="39">
        <f t="shared" ref="N189:N201" si="53">E189+F189+G189+H189+I189</f>
        <v>981</v>
      </c>
      <c r="O189" s="42">
        <v>38</v>
      </c>
      <c r="P189" s="92">
        <f t="shared" ref="P189:P201" si="54">N189+O189</f>
        <v>1019</v>
      </c>
      <c r="Q189" s="39">
        <f t="shared" ref="Q189:Q201" si="55">ROUND(L189/B189,3)</f>
        <v>15.763999999999999</v>
      </c>
      <c r="R189" s="144">
        <f t="shared" ref="R189:R201" si="56">P189/B189</f>
        <v>2.0881147540983607</v>
      </c>
      <c r="S189" s="128">
        <f t="shared" ref="S189:S201" si="57">Q189/20.585</f>
        <v>0.76580034005343689</v>
      </c>
      <c r="T189" s="145">
        <f t="shared" ref="T189:T201" si="58">L189+M189</f>
        <v>7720.6</v>
      </c>
    </row>
    <row r="190" spans="1:20" ht="18.75">
      <c r="A190" s="120">
        <v>94</v>
      </c>
      <c r="B190" s="106">
        <v>381</v>
      </c>
      <c r="C190" s="42">
        <v>1666.8</v>
      </c>
      <c r="D190" s="42">
        <v>503.4</v>
      </c>
      <c r="E190" s="42">
        <v>412.7</v>
      </c>
      <c r="F190" s="42">
        <v>301.60000000000002</v>
      </c>
      <c r="G190" s="42">
        <v>92.4</v>
      </c>
      <c r="H190" s="66"/>
      <c r="I190" s="66"/>
      <c r="J190" s="42">
        <v>34.4</v>
      </c>
      <c r="K190" s="42">
        <v>3493.3</v>
      </c>
      <c r="L190" s="123">
        <f t="shared" si="52"/>
        <v>6504.6</v>
      </c>
      <c r="M190" s="42">
        <v>30.4</v>
      </c>
      <c r="N190" s="39">
        <f t="shared" si="53"/>
        <v>806.69999999999993</v>
      </c>
      <c r="O190" s="42">
        <v>34.4</v>
      </c>
      <c r="P190" s="92">
        <f t="shared" si="54"/>
        <v>841.09999999999991</v>
      </c>
      <c r="Q190" s="39">
        <f t="shared" si="55"/>
        <v>17.071999999999999</v>
      </c>
      <c r="R190" s="144">
        <f t="shared" si="56"/>
        <v>2.20761154855643</v>
      </c>
      <c r="S190" s="128">
        <f t="shared" si="57"/>
        <v>0.82934175370415342</v>
      </c>
      <c r="T190" s="145">
        <f t="shared" si="58"/>
        <v>6535</v>
      </c>
    </row>
    <row r="191" spans="1:20" ht="18.75">
      <c r="A191" s="7" t="s">
        <v>143</v>
      </c>
      <c r="B191" s="89">
        <v>390</v>
      </c>
      <c r="C191" s="42">
        <v>1616.3</v>
      </c>
      <c r="D191" s="42">
        <v>488.1</v>
      </c>
      <c r="E191" s="42">
        <v>468.3</v>
      </c>
      <c r="F191" s="42">
        <v>107.5</v>
      </c>
      <c r="G191" s="42">
        <v>54.5</v>
      </c>
      <c r="H191" s="64"/>
      <c r="I191" s="64"/>
      <c r="J191" s="42">
        <v>34.4</v>
      </c>
      <c r="K191" s="42">
        <v>3680.6</v>
      </c>
      <c r="L191" s="123">
        <f t="shared" si="52"/>
        <v>6449.7</v>
      </c>
      <c r="M191" s="42">
        <v>17.3</v>
      </c>
      <c r="N191" s="39">
        <f t="shared" si="53"/>
        <v>630.29999999999995</v>
      </c>
      <c r="O191" s="42">
        <v>34.4</v>
      </c>
      <c r="P191" s="92">
        <f t="shared" si="54"/>
        <v>664.69999999999993</v>
      </c>
      <c r="Q191" s="39">
        <f t="shared" si="55"/>
        <v>16.538</v>
      </c>
      <c r="R191" s="144">
        <f t="shared" si="56"/>
        <v>1.7043589743589742</v>
      </c>
      <c r="S191" s="128">
        <f t="shared" si="57"/>
        <v>0.80340053436968661</v>
      </c>
      <c r="T191" s="145">
        <f t="shared" si="58"/>
        <v>6467</v>
      </c>
    </row>
    <row r="192" spans="1:20" ht="18.75">
      <c r="A192" s="7" t="s">
        <v>145</v>
      </c>
      <c r="B192" s="89">
        <v>380</v>
      </c>
      <c r="C192" s="42">
        <v>1666.8</v>
      </c>
      <c r="D192" s="42">
        <v>503.4</v>
      </c>
      <c r="E192" s="42">
        <v>381.2</v>
      </c>
      <c r="F192" s="42">
        <v>229.1</v>
      </c>
      <c r="G192" s="42">
        <v>66.400000000000006</v>
      </c>
      <c r="H192" s="64"/>
      <c r="I192" s="64"/>
      <c r="J192" s="42">
        <v>34.4</v>
      </c>
      <c r="K192" s="42">
        <v>3529.6</v>
      </c>
      <c r="L192" s="123">
        <f t="shared" si="52"/>
        <v>6410.9</v>
      </c>
      <c r="M192" s="42">
        <v>17.3</v>
      </c>
      <c r="N192" s="39">
        <f t="shared" si="53"/>
        <v>676.69999999999993</v>
      </c>
      <c r="O192" s="42">
        <v>34.4</v>
      </c>
      <c r="P192" s="92">
        <f t="shared" si="54"/>
        <v>711.09999999999991</v>
      </c>
      <c r="Q192" s="39">
        <f t="shared" si="55"/>
        <v>16.870999999999999</v>
      </c>
      <c r="R192" s="144">
        <f t="shared" si="56"/>
        <v>1.871315789473684</v>
      </c>
      <c r="S192" s="128">
        <f t="shared" si="57"/>
        <v>0.81957736215691024</v>
      </c>
      <c r="T192" s="145">
        <f t="shared" si="58"/>
        <v>6428.2</v>
      </c>
    </row>
    <row r="193" spans="1:20" ht="18.75">
      <c r="A193" s="120">
        <v>209</v>
      </c>
      <c r="B193" s="106">
        <v>317</v>
      </c>
      <c r="C193" s="42">
        <v>1666.8</v>
      </c>
      <c r="D193" s="42">
        <v>503.4</v>
      </c>
      <c r="E193" s="42">
        <v>487.9</v>
      </c>
      <c r="F193" s="42">
        <v>260.79999999999995</v>
      </c>
      <c r="G193" s="42">
        <v>66.8</v>
      </c>
      <c r="H193" s="66"/>
      <c r="I193" s="66"/>
      <c r="J193" s="42">
        <v>34.4</v>
      </c>
      <c r="K193" s="42">
        <v>3265.9</v>
      </c>
      <c r="L193" s="123">
        <f t="shared" si="52"/>
        <v>6286</v>
      </c>
      <c r="M193" s="42">
        <v>20.2</v>
      </c>
      <c r="N193" s="39">
        <f t="shared" si="53"/>
        <v>815.49999999999989</v>
      </c>
      <c r="O193" s="42">
        <v>34.4</v>
      </c>
      <c r="P193" s="92">
        <f t="shared" si="54"/>
        <v>849.89999999999986</v>
      </c>
      <c r="Q193" s="39">
        <f t="shared" si="55"/>
        <v>19.829999999999998</v>
      </c>
      <c r="R193" s="144">
        <f t="shared" si="56"/>
        <v>2.6810725552050467</v>
      </c>
      <c r="S193" s="128">
        <f t="shared" si="57"/>
        <v>0.96332280786980795</v>
      </c>
      <c r="T193" s="145">
        <f t="shared" si="58"/>
        <v>6306.2</v>
      </c>
    </row>
    <row r="194" spans="1:20" ht="18.75">
      <c r="A194" s="120">
        <v>210</v>
      </c>
      <c r="B194" s="106">
        <v>159</v>
      </c>
      <c r="C194" s="42">
        <v>1135.9000000000001</v>
      </c>
      <c r="D194" s="42">
        <v>343</v>
      </c>
      <c r="E194" s="42">
        <v>322.3</v>
      </c>
      <c r="F194" s="42">
        <v>82</v>
      </c>
      <c r="G194" s="42">
        <v>27.2</v>
      </c>
      <c r="H194" s="66"/>
      <c r="I194" s="66"/>
      <c r="J194" s="42">
        <v>26.6</v>
      </c>
      <c r="K194" s="42">
        <v>1620.8</v>
      </c>
      <c r="L194" s="123">
        <f t="shared" si="52"/>
        <v>3557.8</v>
      </c>
      <c r="M194" s="42">
        <v>18.8</v>
      </c>
      <c r="N194" s="39">
        <f t="shared" si="53"/>
        <v>431.5</v>
      </c>
      <c r="O194" s="42">
        <v>26.6</v>
      </c>
      <c r="P194" s="92">
        <f t="shared" si="54"/>
        <v>458.1</v>
      </c>
      <c r="Q194" s="39">
        <f t="shared" si="55"/>
        <v>22.376000000000001</v>
      </c>
      <c r="R194" s="144">
        <f t="shared" si="56"/>
        <v>2.8811320754716983</v>
      </c>
      <c r="S194" s="128">
        <f t="shared" si="57"/>
        <v>1.0870051008015544</v>
      </c>
      <c r="T194" s="145">
        <f t="shared" si="58"/>
        <v>3576.6000000000004</v>
      </c>
    </row>
    <row r="195" spans="1:20" ht="18.75">
      <c r="A195" s="7" t="s">
        <v>147</v>
      </c>
      <c r="B195" s="89">
        <v>367</v>
      </c>
      <c r="C195" s="42">
        <v>1591</v>
      </c>
      <c r="D195" s="42">
        <v>480.5</v>
      </c>
      <c r="E195" s="42">
        <v>369.5</v>
      </c>
      <c r="F195" s="42">
        <v>277.10000000000002</v>
      </c>
      <c r="G195" s="42">
        <v>89.1</v>
      </c>
      <c r="H195" s="64"/>
      <c r="I195" s="64"/>
      <c r="J195" s="42">
        <v>32.299999999999997</v>
      </c>
      <c r="K195" s="42">
        <v>3113</v>
      </c>
      <c r="L195" s="123">
        <f t="shared" si="52"/>
        <v>5952.5</v>
      </c>
      <c r="M195" s="42">
        <v>22.1</v>
      </c>
      <c r="N195" s="39">
        <f t="shared" si="53"/>
        <v>735.7</v>
      </c>
      <c r="O195" s="42">
        <v>32.299999999999997</v>
      </c>
      <c r="P195" s="92">
        <f t="shared" si="54"/>
        <v>768</v>
      </c>
      <c r="Q195" s="39">
        <f t="shared" si="55"/>
        <v>16.219000000000001</v>
      </c>
      <c r="R195" s="144">
        <f t="shared" si="56"/>
        <v>2.092643051771117</v>
      </c>
      <c r="S195" s="128">
        <f t="shared" si="57"/>
        <v>0.78790381345640037</v>
      </c>
      <c r="T195" s="145">
        <f t="shared" si="58"/>
        <v>5974.6</v>
      </c>
    </row>
    <row r="196" spans="1:20" ht="18.75">
      <c r="A196" s="7" t="s">
        <v>148</v>
      </c>
      <c r="B196" s="89">
        <v>446</v>
      </c>
      <c r="C196" s="42">
        <v>1641.5</v>
      </c>
      <c r="D196" s="42">
        <v>495.7</v>
      </c>
      <c r="E196" s="42">
        <v>537.6</v>
      </c>
      <c r="F196" s="42">
        <v>284.3</v>
      </c>
      <c r="G196" s="42">
        <v>116.5</v>
      </c>
      <c r="H196" s="64"/>
      <c r="I196" s="64"/>
      <c r="J196" s="42">
        <v>34.4</v>
      </c>
      <c r="K196" s="42">
        <v>4173.1000000000004</v>
      </c>
      <c r="L196" s="123">
        <f t="shared" si="52"/>
        <v>7283.1</v>
      </c>
      <c r="M196" s="42">
        <v>16.600000000000001</v>
      </c>
      <c r="N196" s="39">
        <f t="shared" si="53"/>
        <v>938.40000000000009</v>
      </c>
      <c r="O196" s="42">
        <v>34.4</v>
      </c>
      <c r="P196" s="92">
        <f t="shared" si="54"/>
        <v>972.80000000000007</v>
      </c>
      <c r="Q196" s="39">
        <f t="shared" si="55"/>
        <v>16.329999999999998</v>
      </c>
      <c r="R196" s="144">
        <f t="shared" si="56"/>
        <v>2.1811659192825115</v>
      </c>
      <c r="S196" s="128">
        <f t="shared" si="57"/>
        <v>0.79329608938547469</v>
      </c>
      <c r="T196" s="145">
        <f t="shared" si="58"/>
        <v>7299.7000000000007</v>
      </c>
    </row>
    <row r="197" spans="1:20" ht="18.75">
      <c r="A197" s="7" t="s">
        <v>149</v>
      </c>
      <c r="B197" s="89">
        <v>400</v>
      </c>
      <c r="C197" s="42">
        <v>1692.1</v>
      </c>
      <c r="D197" s="42">
        <v>511</v>
      </c>
      <c r="E197" s="42">
        <v>365.5</v>
      </c>
      <c r="F197" s="42">
        <v>207.5</v>
      </c>
      <c r="G197" s="42">
        <v>104.1</v>
      </c>
      <c r="H197" s="64"/>
      <c r="I197" s="64"/>
      <c r="J197" s="42">
        <v>34.4</v>
      </c>
      <c r="K197" s="42">
        <v>3733.8</v>
      </c>
      <c r="L197" s="123">
        <f t="shared" si="52"/>
        <v>6648.4</v>
      </c>
      <c r="M197" s="42">
        <v>19.3</v>
      </c>
      <c r="N197" s="39">
        <f t="shared" si="53"/>
        <v>677.1</v>
      </c>
      <c r="O197" s="42">
        <v>34.4</v>
      </c>
      <c r="P197" s="92">
        <f t="shared" si="54"/>
        <v>711.5</v>
      </c>
      <c r="Q197" s="39">
        <f t="shared" si="55"/>
        <v>16.620999999999999</v>
      </c>
      <c r="R197" s="144">
        <f t="shared" si="56"/>
        <v>1.7787500000000001</v>
      </c>
      <c r="S197" s="128">
        <f t="shared" si="57"/>
        <v>0.80743259655088651</v>
      </c>
      <c r="T197" s="145">
        <f t="shared" si="58"/>
        <v>6667.7</v>
      </c>
    </row>
    <row r="198" spans="1:20" ht="18.75">
      <c r="A198" s="7" t="s">
        <v>150</v>
      </c>
      <c r="B198" s="89">
        <v>448</v>
      </c>
      <c r="C198" s="42">
        <v>1700.5</v>
      </c>
      <c r="D198" s="42">
        <v>513.6</v>
      </c>
      <c r="E198" s="42">
        <v>684.2</v>
      </c>
      <c r="F198" s="42">
        <v>129.30000000000001</v>
      </c>
      <c r="G198" s="42">
        <v>72.5</v>
      </c>
      <c r="H198" s="64"/>
      <c r="I198" s="64"/>
      <c r="J198" s="42">
        <v>34.4</v>
      </c>
      <c r="K198" s="42">
        <v>4055.7</v>
      </c>
      <c r="L198" s="123">
        <f t="shared" si="52"/>
        <v>7190.2</v>
      </c>
      <c r="M198" s="42">
        <v>13.9</v>
      </c>
      <c r="N198" s="39">
        <f t="shared" si="53"/>
        <v>886</v>
      </c>
      <c r="O198" s="42">
        <v>34.4</v>
      </c>
      <c r="P198" s="92">
        <f t="shared" si="54"/>
        <v>920.4</v>
      </c>
      <c r="Q198" s="39">
        <f t="shared" si="55"/>
        <v>16.05</v>
      </c>
      <c r="R198" s="144">
        <f t="shared" si="56"/>
        <v>2.0544642857142859</v>
      </c>
      <c r="S198" s="128">
        <f t="shared" si="57"/>
        <v>0.77969395190672819</v>
      </c>
      <c r="T198" s="145">
        <f t="shared" si="58"/>
        <v>7204.0999999999995</v>
      </c>
    </row>
    <row r="199" spans="1:20" ht="18.75">
      <c r="A199" s="7" t="s">
        <v>152</v>
      </c>
      <c r="B199" s="89">
        <v>444</v>
      </c>
      <c r="C199" s="42">
        <v>1692.1</v>
      </c>
      <c r="D199" s="42">
        <v>511</v>
      </c>
      <c r="E199" s="42">
        <v>392.3</v>
      </c>
      <c r="F199" s="42">
        <v>262</v>
      </c>
      <c r="G199" s="42">
        <v>65.099999999999994</v>
      </c>
      <c r="H199" s="64"/>
      <c r="I199" s="64"/>
      <c r="J199" s="42">
        <v>34.4</v>
      </c>
      <c r="K199" s="42">
        <v>4149.7</v>
      </c>
      <c r="L199" s="123">
        <f t="shared" si="52"/>
        <v>7106.6</v>
      </c>
      <c r="M199" s="42">
        <v>12</v>
      </c>
      <c r="N199" s="39">
        <f t="shared" si="53"/>
        <v>719.4</v>
      </c>
      <c r="O199" s="42">
        <v>34.4</v>
      </c>
      <c r="P199" s="92">
        <f t="shared" si="54"/>
        <v>753.8</v>
      </c>
      <c r="Q199" s="39">
        <f t="shared" si="55"/>
        <v>16.006</v>
      </c>
      <c r="R199" s="144">
        <f t="shared" si="56"/>
        <v>1.6977477477477476</v>
      </c>
      <c r="S199" s="128">
        <f t="shared" si="57"/>
        <v>0.77755647316006804</v>
      </c>
      <c r="T199" s="145">
        <f t="shared" si="58"/>
        <v>7118.6</v>
      </c>
    </row>
    <row r="200" spans="1:20" ht="18.75">
      <c r="A200" s="120">
        <v>186</v>
      </c>
      <c r="B200" s="106">
        <v>348</v>
      </c>
      <c r="C200" s="42">
        <v>1279.2</v>
      </c>
      <c r="D200" s="42">
        <v>386.3</v>
      </c>
      <c r="E200" s="42">
        <v>605.29999999999995</v>
      </c>
      <c r="F200" s="42">
        <v>322.70000000000005</v>
      </c>
      <c r="G200" s="42">
        <v>47.8</v>
      </c>
      <c r="H200" s="70"/>
      <c r="I200" s="70"/>
      <c r="J200" s="42">
        <v>38</v>
      </c>
      <c r="K200" s="42">
        <v>3354</v>
      </c>
      <c r="L200" s="123">
        <f t="shared" si="52"/>
        <v>6033.3</v>
      </c>
      <c r="M200" s="42">
        <v>67</v>
      </c>
      <c r="N200" s="39">
        <f t="shared" si="53"/>
        <v>975.8</v>
      </c>
      <c r="O200" s="42">
        <v>38</v>
      </c>
      <c r="P200" s="92">
        <f t="shared" si="54"/>
        <v>1013.8</v>
      </c>
      <c r="Q200" s="39">
        <f t="shared" si="55"/>
        <v>17.337</v>
      </c>
      <c r="R200" s="144">
        <f t="shared" si="56"/>
        <v>2.9132183908045977</v>
      </c>
      <c r="S200" s="128">
        <f t="shared" si="57"/>
        <v>0.8422152052465387</v>
      </c>
      <c r="T200" s="145">
        <f t="shared" si="58"/>
        <v>6100.3</v>
      </c>
    </row>
    <row r="201" spans="1:20" ht="18.75">
      <c r="A201" s="7" t="s">
        <v>162</v>
      </c>
      <c r="B201" s="89">
        <v>414</v>
      </c>
      <c r="C201" s="42">
        <v>1666.8</v>
      </c>
      <c r="D201" s="42">
        <v>503.4</v>
      </c>
      <c r="E201" s="42">
        <v>526.6</v>
      </c>
      <c r="F201" s="42">
        <v>336.4</v>
      </c>
      <c r="G201" s="42">
        <v>101.1</v>
      </c>
      <c r="H201" s="69"/>
      <c r="I201" s="69"/>
      <c r="J201" s="42">
        <v>34.4</v>
      </c>
      <c r="K201" s="42">
        <v>3741.6</v>
      </c>
      <c r="L201" s="123">
        <f t="shared" si="52"/>
        <v>6910.3</v>
      </c>
      <c r="M201" s="42">
        <v>16.5</v>
      </c>
      <c r="N201" s="39">
        <f t="shared" si="53"/>
        <v>964.1</v>
      </c>
      <c r="O201" s="42">
        <v>34.4</v>
      </c>
      <c r="P201" s="92">
        <f t="shared" si="54"/>
        <v>998.5</v>
      </c>
      <c r="Q201" s="39">
        <f t="shared" si="55"/>
        <v>16.692</v>
      </c>
      <c r="R201" s="144">
        <f t="shared" si="56"/>
        <v>2.4118357487922704</v>
      </c>
      <c r="S201" s="128">
        <f t="shared" si="57"/>
        <v>0.81088170998299736</v>
      </c>
      <c r="T201" s="145">
        <f t="shared" si="58"/>
        <v>6926.8</v>
      </c>
    </row>
    <row r="202" spans="1:20" ht="18.75">
      <c r="A202" s="111" t="s">
        <v>263</v>
      </c>
      <c r="B202" s="112">
        <f t="shared" ref="B202:O202" si="59">SUM(B185:B201)</f>
        <v>6556</v>
      </c>
      <c r="C202" s="112">
        <f t="shared" si="59"/>
        <v>26212.199999999993</v>
      </c>
      <c r="D202" s="112">
        <f t="shared" si="59"/>
        <v>7916.1</v>
      </c>
      <c r="E202" s="112">
        <f t="shared" si="59"/>
        <v>7894.9000000000005</v>
      </c>
      <c r="F202" s="112">
        <f t="shared" si="59"/>
        <v>3650.7000000000003</v>
      </c>
      <c r="G202" s="112">
        <f t="shared" si="59"/>
        <v>1201.2999999999997</v>
      </c>
      <c r="H202" s="112">
        <f t="shared" si="59"/>
        <v>0</v>
      </c>
      <c r="I202" s="112">
        <f t="shared" si="59"/>
        <v>0</v>
      </c>
      <c r="J202" s="112">
        <f t="shared" si="59"/>
        <v>574.29999999999984</v>
      </c>
      <c r="K202" s="112">
        <f t="shared" si="59"/>
        <v>60481.999999999993</v>
      </c>
      <c r="L202" s="112">
        <f t="shared" si="59"/>
        <v>107931.50000000001</v>
      </c>
      <c r="M202" s="112">
        <f t="shared" si="59"/>
        <v>373</v>
      </c>
      <c r="N202" s="112">
        <f t="shared" si="59"/>
        <v>12746.9</v>
      </c>
      <c r="O202" s="112">
        <f t="shared" si="59"/>
        <v>574.29999999999984</v>
      </c>
      <c r="P202" s="67">
        <f t="shared" ref="P202" si="60">N202+O202</f>
        <v>13321.199999999999</v>
      </c>
      <c r="Q202" s="39">
        <f t="shared" ref="Q202" si="61">ROUND(L202/B202,3)</f>
        <v>16.463000000000001</v>
      </c>
      <c r="R202" s="144">
        <f t="shared" ref="R202" si="62">P202/B202</f>
        <v>2.0319097010372178</v>
      </c>
      <c r="S202" s="128">
        <f t="shared" ref="S202" si="63">Q202/20.585</f>
        <v>0.79975710468787953</v>
      </c>
      <c r="T202" s="112">
        <f>SUM(T185:T201)</f>
        <v>108304.5</v>
      </c>
    </row>
  </sheetData>
  <autoFilter ref="A1:A157">
    <filterColumn colId="0">
      <filters>
        <filter val="186"/>
        <filter val="209"/>
        <filter val="210"/>
        <filter val="226"/>
        <filter val="94"/>
        <filter val="МАДОУ № 223"/>
        <filter val="МДОУ №14"/>
        <filter val="МДОУ №188"/>
        <filter val="МДОУ №197"/>
        <filter val="МДОУ №207"/>
        <filter val="МДОУ №218"/>
        <filter val="МДОУ №221"/>
        <filter val="МДОУ №222"/>
        <filter val="МДОУ №229"/>
        <filter val="МДОУ №232"/>
        <filter val="МДОУ №242"/>
        <filter val="МДОУ №244"/>
      </filters>
    </filterColumn>
  </autoFilter>
  <mergeCells count="5">
    <mergeCell ref="A183:B183"/>
    <mergeCell ref="A1:B1"/>
    <mergeCell ref="A3:T3"/>
    <mergeCell ref="A16:T16"/>
    <mergeCell ref="A161:B161"/>
  </mergeCell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sheetPr filterMode="1"/>
  <dimension ref="A1:BW190"/>
  <sheetViews>
    <sheetView topLeftCell="A175" workbookViewId="0">
      <selection activeCell="L203" sqref="L203"/>
    </sheetView>
  </sheetViews>
  <sheetFormatPr defaultRowHeight="15"/>
  <cols>
    <col min="1" max="1" width="15" style="25" customWidth="1"/>
    <col min="2" max="2" width="11.7109375" style="25" customWidth="1"/>
    <col min="3" max="3" width="10.85546875" style="25" customWidth="1"/>
    <col min="4" max="4" width="9.7109375" style="25" customWidth="1"/>
    <col min="5" max="5" width="11" style="25" customWidth="1"/>
    <col min="6" max="6" width="9.85546875" style="25" customWidth="1"/>
    <col min="7" max="7" width="10.140625" style="25" bestFit="1" customWidth="1"/>
    <col min="8" max="8" width="9.7109375" style="25" bestFit="1" customWidth="1"/>
    <col min="9" max="9" width="9.42578125" style="25" customWidth="1"/>
    <col min="10" max="10" width="11.28515625" style="25" bestFit="1" customWidth="1"/>
    <col min="11" max="11" width="10.28515625" style="25" bestFit="1" customWidth="1"/>
    <col min="12" max="12" width="11.28515625" style="25" bestFit="1" customWidth="1"/>
    <col min="13" max="13" width="10.140625" style="25" bestFit="1" customWidth="1"/>
    <col min="14" max="14" width="11.140625" style="87" customWidth="1"/>
    <col min="15" max="15" width="10" style="25" customWidth="1"/>
    <col min="16" max="16" width="16" style="25" customWidth="1"/>
    <col min="17" max="17" width="14.140625" style="25" bestFit="1" customWidth="1"/>
    <col min="18" max="18" width="12.85546875" style="25" customWidth="1"/>
    <col min="19" max="19" width="16.5703125" style="127" customWidth="1"/>
    <col min="20" max="20" width="10.42578125" style="25" customWidth="1"/>
    <col min="21" max="21" width="10.42578125" style="80" bestFit="1" customWidth="1"/>
    <col min="22" max="23" width="9.42578125" style="80" bestFit="1" customWidth="1"/>
    <col min="24" max="25" width="9.140625" style="80"/>
    <col min="26" max="75" width="9.140625" style="87"/>
    <col min="76" max="16384" width="9.140625" style="25"/>
  </cols>
  <sheetData>
    <row r="1" spans="1:75">
      <c r="A1" s="207" t="s">
        <v>273</v>
      </c>
      <c r="B1" s="207"/>
      <c r="C1" s="78"/>
      <c r="D1" s="78"/>
      <c r="E1" s="79"/>
      <c r="F1" s="79"/>
      <c r="G1" s="79"/>
      <c r="H1" s="78"/>
      <c r="I1" s="78"/>
      <c r="J1" s="78"/>
      <c r="K1" s="78"/>
      <c r="L1" s="78"/>
      <c r="M1" s="78"/>
      <c r="N1" s="130"/>
    </row>
    <row r="2" spans="1:75" ht="104.25" hidden="1" customHeight="1">
      <c r="A2" s="8" t="s">
        <v>11</v>
      </c>
      <c r="B2" s="81" t="s">
        <v>260</v>
      </c>
      <c r="C2" s="71">
        <v>211</v>
      </c>
      <c r="D2" s="71">
        <v>213</v>
      </c>
      <c r="E2" s="153" t="s">
        <v>13</v>
      </c>
      <c r="F2" s="153" t="s">
        <v>267</v>
      </c>
      <c r="G2" s="153" t="s">
        <v>12</v>
      </c>
      <c r="H2" s="153" t="s">
        <v>14</v>
      </c>
      <c r="I2" s="153" t="s">
        <v>269</v>
      </c>
      <c r="J2" s="71" t="s">
        <v>15</v>
      </c>
      <c r="K2" s="73" t="s">
        <v>261</v>
      </c>
      <c r="L2" s="82" t="s">
        <v>296</v>
      </c>
      <c r="M2" s="139" t="s">
        <v>310</v>
      </c>
      <c r="N2" s="135" t="s">
        <v>297</v>
      </c>
      <c r="O2" s="136" t="s">
        <v>298</v>
      </c>
      <c r="P2" s="137" t="s">
        <v>312</v>
      </c>
      <c r="Q2" s="148" t="s">
        <v>307</v>
      </c>
      <c r="R2" s="149" t="s">
        <v>309</v>
      </c>
      <c r="S2" s="8" t="s">
        <v>313</v>
      </c>
      <c r="T2" s="43" t="s">
        <v>293</v>
      </c>
      <c r="U2" s="75"/>
      <c r="V2" s="76"/>
      <c r="W2" s="76"/>
    </row>
    <row r="3" spans="1:75" ht="15.75" hidden="1">
      <c r="A3" s="211" t="s">
        <v>265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3"/>
      <c r="U3" s="85"/>
      <c r="V3" s="85"/>
    </row>
    <row r="4" spans="1:75" ht="18.75" hidden="1">
      <c r="A4" s="7" t="s">
        <v>66</v>
      </c>
      <c r="B4" s="89">
        <v>155</v>
      </c>
      <c r="C4" s="51">
        <v>741</v>
      </c>
      <c r="D4" s="51">
        <v>164.1</v>
      </c>
      <c r="E4" s="63">
        <v>203</v>
      </c>
      <c r="F4" s="63">
        <v>771.6</v>
      </c>
      <c r="G4" s="63">
        <v>78.7</v>
      </c>
      <c r="H4" s="64"/>
      <c r="I4" s="64"/>
      <c r="J4" s="42">
        <v>154</v>
      </c>
      <c r="K4" s="42">
        <f>665.4+51.6</f>
        <v>717</v>
      </c>
      <c r="L4" s="123">
        <f>ROUND(C4+D4+H4+J4+K4+F4+G4+E4,1)</f>
        <v>2829.4</v>
      </c>
      <c r="M4" s="42">
        <v>30.7</v>
      </c>
      <c r="N4" s="138">
        <f>E4+F4+G4+H4+I4</f>
        <v>1053.3</v>
      </c>
      <c r="O4" s="125">
        <v>99.3</v>
      </c>
      <c r="P4" s="109">
        <f>N4+O4</f>
        <v>1152.5999999999999</v>
      </c>
      <c r="Q4" s="39">
        <f t="shared" ref="Q4:Q68" si="0">ROUND(L4/B4,3)</f>
        <v>18.254000000000001</v>
      </c>
      <c r="R4" s="39">
        <f t="shared" ref="R4:R68" si="1">P4/B4</f>
        <v>7.436129032258064</v>
      </c>
      <c r="S4" s="128">
        <f>Q4/20.585</f>
        <v>0.88676220548943407</v>
      </c>
      <c r="T4" s="92">
        <f>L4+M4</f>
        <v>2860.1</v>
      </c>
      <c r="U4" s="85"/>
      <c r="V4" s="85"/>
      <c r="W4" s="77"/>
    </row>
    <row r="5" spans="1:75" s="107" customFormat="1" ht="18.75" hidden="1">
      <c r="A5" s="120">
        <v>16</v>
      </c>
      <c r="B5" s="106">
        <v>82</v>
      </c>
      <c r="C5" s="52">
        <v>741</v>
      </c>
      <c r="D5" s="52">
        <v>164.1</v>
      </c>
      <c r="E5" s="65">
        <v>294.7</v>
      </c>
      <c r="F5" s="65">
        <v>384.9</v>
      </c>
      <c r="G5" s="65">
        <v>57.1</v>
      </c>
      <c r="H5" s="66"/>
      <c r="I5" s="66"/>
      <c r="J5" s="90">
        <v>154</v>
      </c>
      <c r="K5" s="90">
        <f>896.2+69.4</f>
        <v>965.6</v>
      </c>
      <c r="L5" s="123">
        <f t="shared" ref="L5:L69" si="2">ROUND(C5+D5+H5+J5+K5+F5+G5+E5,1)</f>
        <v>2761.4</v>
      </c>
      <c r="M5" s="42">
        <v>31</v>
      </c>
      <c r="N5" s="138">
        <f t="shared" ref="N5:N69" si="3">E5+F5+G5+H5+I5</f>
        <v>736.69999999999993</v>
      </c>
      <c r="O5" s="125">
        <v>113.7</v>
      </c>
      <c r="P5" s="109">
        <f t="shared" ref="P5:P69" si="4">N5+O5</f>
        <v>850.4</v>
      </c>
      <c r="Q5" s="39">
        <f t="shared" si="0"/>
        <v>33.676000000000002</v>
      </c>
      <c r="R5" s="39">
        <f t="shared" si="1"/>
        <v>10.370731707317074</v>
      </c>
      <c r="S5" s="157">
        <f t="shared" ref="S5:S69" si="5">Q5/20.585</f>
        <v>1.6359485061938306</v>
      </c>
      <c r="T5" s="92">
        <f t="shared" ref="T5:T69" si="6">L5+M5</f>
        <v>2792.4</v>
      </c>
      <c r="U5" s="85"/>
      <c r="V5" s="85"/>
      <c r="W5" s="77"/>
      <c r="X5" s="80"/>
      <c r="Y5" s="80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</row>
    <row r="6" spans="1:75" ht="18.75" hidden="1">
      <c r="A6" s="7" t="s">
        <v>67</v>
      </c>
      <c r="B6" s="89">
        <v>123</v>
      </c>
      <c r="C6" s="51">
        <v>647.20000000000005</v>
      </c>
      <c r="D6" s="51">
        <v>143.30000000000001</v>
      </c>
      <c r="E6" s="63">
        <v>275.10000000000002</v>
      </c>
      <c r="F6" s="63">
        <v>297.39999999999998</v>
      </c>
      <c r="G6" s="63">
        <v>82.4</v>
      </c>
      <c r="H6" s="64"/>
      <c r="I6" s="64"/>
      <c r="J6" s="108">
        <v>130</v>
      </c>
      <c r="K6" s="6">
        <f>527.2+40.8</f>
        <v>568</v>
      </c>
      <c r="L6" s="123">
        <f t="shared" si="2"/>
        <v>2143.4</v>
      </c>
      <c r="M6" s="42">
        <v>16.7</v>
      </c>
      <c r="N6" s="138">
        <f t="shared" si="3"/>
        <v>654.9</v>
      </c>
      <c r="O6" s="125">
        <v>94.5</v>
      </c>
      <c r="P6" s="109">
        <f t="shared" si="4"/>
        <v>749.4</v>
      </c>
      <c r="Q6" s="39">
        <f t="shared" si="0"/>
        <v>17.425999999999998</v>
      </c>
      <c r="R6" s="39">
        <f t="shared" si="1"/>
        <v>6.0926829268292684</v>
      </c>
      <c r="S6" s="128">
        <f t="shared" si="5"/>
        <v>0.84653874180228306</v>
      </c>
      <c r="T6" s="92">
        <f t="shared" si="6"/>
        <v>2160.1</v>
      </c>
      <c r="U6" s="85"/>
      <c r="V6" s="85"/>
      <c r="W6" s="77"/>
    </row>
    <row r="7" spans="1:75" ht="18.75" hidden="1">
      <c r="A7" s="7" t="s">
        <v>68</v>
      </c>
      <c r="B7" s="89">
        <v>183</v>
      </c>
      <c r="C7" s="51">
        <v>811.4</v>
      </c>
      <c r="D7" s="51">
        <v>179.7</v>
      </c>
      <c r="E7" s="63">
        <v>206.3</v>
      </c>
      <c r="F7" s="63">
        <v>350.6</v>
      </c>
      <c r="G7" s="63">
        <v>62.8</v>
      </c>
      <c r="H7" s="64"/>
      <c r="I7" s="64"/>
      <c r="J7" s="108">
        <v>154</v>
      </c>
      <c r="K7" s="6">
        <f>858.1+66.4</f>
        <v>924.5</v>
      </c>
      <c r="L7" s="123">
        <f t="shared" si="2"/>
        <v>2689.3</v>
      </c>
      <c r="M7" s="42">
        <v>24</v>
      </c>
      <c r="N7" s="138">
        <f t="shared" si="3"/>
        <v>619.70000000000005</v>
      </c>
      <c r="O7" s="125">
        <v>105.3</v>
      </c>
      <c r="P7" s="109">
        <f t="shared" si="4"/>
        <v>725</v>
      </c>
      <c r="Q7" s="39">
        <f t="shared" si="0"/>
        <v>14.696</v>
      </c>
      <c r="R7" s="39">
        <f t="shared" si="1"/>
        <v>3.9617486338797816</v>
      </c>
      <c r="S7" s="128">
        <f t="shared" si="5"/>
        <v>0.71391790138450328</v>
      </c>
      <c r="T7" s="92">
        <f t="shared" si="6"/>
        <v>2713.3</v>
      </c>
      <c r="U7" s="85"/>
      <c r="V7" s="85"/>
      <c r="W7" s="77"/>
    </row>
    <row r="8" spans="1:75" ht="18.75" hidden="1">
      <c r="A8" s="7" t="s">
        <v>69</v>
      </c>
      <c r="B8" s="89">
        <v>173</v>
      </c>
      <c r="C8" s="51">
        <v>741</v>
      </c>
      <c r="D8" s="51">
        <v>164.1</v>
      </c>
      <c r="E8" s="63">
        <v>278.3</v>
      </c>
      <c r="F8" s="63">
        <v>479.4</v>
      </c>
      <c r="G8" s="63">
        <v>48.3</v>
      </c>
      <c r="H8" s="64"/>
      <c r="I8" s="64"/>
      <c r="J8" s="108">
        <v>154</v>
      </c>
      <c r="K8" s="6">
        <f>745.3+57.7</f>
        <v>803</v>
      </c>
      <c r="L8" s="123">
        <f t="shared" si="2"/>
        <v>2668.1</v>
      </c>
      <c r="M8" s="42">
        <v>20.9</v>
      </c>
      <c r="N8" s="138">
        <f t="shared" si="3"/>
        <v>806</v>
      </c>
      <c r="O8" s="125">
        <v>96.6</v>
      </c>
      <c r="P8" s="109">
        <f t="shared" si="4"/>
        <v>902.6</v>
      </c>
      <c r="Q8" s="39">
        <f t="shared" si="0"/>
        <v>15.423</v>
      </c>
      <c r="R8" s="39">
        <f t="shared" si="1"/>
        <v>5.2173410404624283</v>
      </c>
      <c r="S8" s="128">
        <f t="shared" si="5"/>
        <v>0.74923487976682046</v>
      </c>
      <c r="T8" s="92">
        <f t="shared" si="6"/>
        <v>2689</v>
      </c>
      <c r="U8" s="85"/>
      <c r="V8" s="85"/>
      <c r="W8" s="77"/>
    </row>
    <row r="9" spans="1:75" ht="18.75" hidden="1">
      <c r="A9" s="7" t="s">
        <v>70</v>
      </c>
      <c r="B9" s="89">
        <v>207</v>
      </c>
      <c r="C9" s="51">
        <v>787.9</v>
      </c>
      <c r="D9" s="51">
        <v>174.5</v>
      </c>
      <c r="E9" s="63">
        <v>225.9</v>
      </c>
      <c r="F9" s="63">
        <v>537.1</v>
      </c>
      <c r="G9" s="63">
        <v>57.4</v>
      </c>
      <c r="H9" s="64"/>
      <c r="I9" s="64"/>
      <c r="J9" s="108">
        <v>154</v>
      </c>
      <c r="K9" s="6">
        <f>987.2+76.5</f>
        <v>1063.7</v>
      </c>
      <c r="L9" s="123">
        <f t="shared" si="2"/>
        <v>3000.5</v>
      </c>
      <c r="M9" s="42">
        <v>28.8</v>
      </c>
      <c r="N9" s="138">
        <f t="shared" si="3"/>
        <v>820.4</v>
      </c>
      <c r="O9" s="125">
        <v>119.3</v>
      </c>
      <c r="P9" s="109">
        <f t="shared" si="4"/>
        <v>939.69999999999993</v>
      </c>
      <c r="Q9" s="39">
        <f t="shared" si="0"/>
        <v>14.494999999999999</v>
      </c>
      <c r="R9" s="39">
        <f t="shared" si="1"/>
        <v>4.5396135265700481</v>
      </c>
      <c r="S9" s="128">
        <f t="shared" si="5"/>
        <v>0.70415350983726011</v>
      </c>
      <c r="T9" s="92">
        <f t="shared" si="6"/>
        <v>3029.3</v>
      </c>
      <c r="U9" s="85"/>
      <c r="V9" s="85"/>
      <c r="W9" s="77"/>
    </row>
    <row r="10" spans="1:75" ht="18.75" hidden="1">
      <c r="A10" s="7" t="s">
        <v>71</v>
      </c>
      <c r="B10" s="89">
        <v>203</v>
      </c>
      <c r="C10" s="51">
        <v>787.9</v>
      </c>
      <c r="D10" s="51">
        <v>174.5</v>
      </c>
      <c r="E10" s="63">
        <v>360.2</v>
      </c>
      <c r="F10" s="63">
        <v>594.79999999999995</v>
      </c>
      <c r="G10" s="63">
        <v>64.400000000000006</v>
      </c>
      <c r="H10" s="64"/>
      <c r="I10" s="64"/>
      <c r="J10" s="108">
        <v>154</v>
      </c>
      <c r="K10" s="6">
        <f>974.4+75.5</f>
        <v>1049.9000000000001</v>
      </c>
      <c r="L10" s="123">
        <f t="shared" si="2"/>
        <v>3185.7</v>
      </c>
      <c r="M10" s="42">
        <v>25.3</v>
      </c>
      <c r="N10" s="138">
        <f t="shared" si="3"/>
        <v>1019.4</v>
      </c>
      <c r="O10" s="125">
        <v>135.5</v>
      </c>
      <c r="P10" s="109">
        <f t="shared" si="4"/>
        <v>1154.9000000000001</v>
      </c>
      <c r="Q10" s="39">
        <f t="shared" si="0"/>
        <v>15.693</v>
      </c>
      <c r="R10" s="39">
        <f t="shared" si="1"/>
        <v>5.6891625615763548</v>
      </c>
      <c r="S10" s="128">
        <f t="shared" si="5"/>
        <v>0.76235122662132615</v>
      </c>
      <c r="T10" s="92">
        <f t="shared" si="6"/>
        <v>3211</v>
      </c>
      <c r="U10" s="85"/>
      <c r="V10" s="85"/>
      <c r="W10" s="77"/>
    </row>
    <row r="11" spans="1:75" ht="18.75" hidden="1">
      <c r="A11" s="7" t="s">
        <v>72</v>
      </c>
      <c r="B11" s="89">
        <v>188</v>
      </c>
      <c r="C11" s="51">
        <v>787.9</v>
      </c>
      <c r="D11" s="51">
        <v>174.5</v>
      </c>
      <c r="E11" s="63">
        <v>301.3</v>
      </c>
      <c r="F11" s="63">
        <v>474.1</v>
      </c>
      <c r="G11" s="63">
        <v>68.3</v>
      </c>
      <c r="H11" s="64"/>
      <c r="I11" s="64"/>
      <c r="J11" s="108">
        <v>154</v>
      </c>
      <c r="K11" s="6">
        <f>961.7+74.5</f>
        <v>1036.2</v>
      </c>
      <c r="L11" s="123">
        <f t="shared" si="2"/>
        <v>2996.3</v>
      </c>
      <c r="M11" s="42">
        <v>26.5</v>
      </c>
      <c r="N11" s="138">
        <f t="shared" si="3"/>
        <v>843.7</v>
      </c>
      <c r="O11" s="125">
        <v>120.1</v>
      </c>
      <c r="P11" s="109">
        <f t="shared" si="4"/>
        <v>963.80000000000007</v>
      </c>
      <c r="Q11" s="39">
        <f t="shared" si="0"/>
        <v>15.938000000000001</v>
      </c>
      <c r="R11" s="39">
        <f t="shared" si="1"/>
        <v>5.1265957446808512</v>
      </c>
      <c r="S11" s="128">
        <f t="shared" si="5"/>
        <v>0.77425309691522959</v>
      </c>
      <c r="T11" s="92">
        <f t="shared" si="6"/>
        <v>3022.8</v>
      </c>
      <c r="U11" s="85"/>
      <c r="V11" s="85"/>
      <c r="W11" s="77"/>
    </row>
    <row r="12" spans="1:75" ht="18.75" hidden="1">
      <c r="A12" s="7" t="s">
        <v>73</v>
      </c>
      <c r="B12" s="89">
        <v>180</v>
      </c>
      <c r="C12" s="51">
        <v>741</v>
      </c>
      <c r="D12" s="51">
        <v>164.1</v>
      </c>
      <c r="E12" s="63">
        <v>347.1</v>
      </c>
      <c r="F12" s="63">
        <v>497.6</v>
      </c>
      <c r="G12" s="63">
        <v>61.2</v>
      </c>
      <c r="H12" s="64"/>
      <c r="I12" s="64"/>
      <c r="J12" s="108">
        <v>154</v>
      </c>
      <c r="K12" s="6">
        <f>714.5+55.3</f>
        <v>769.8</v>
      </c>
      <c r="L12" s="123">
        <f t="shared" si="2"/>
        <v>2734.8</v>
      </c>
      <c r="M12" s="42">
        <v>38.1</v>
      </c>
      <c r="N12" s="138">
        <f t="shared" si="3"/>
        <v>905.90000000000009</v>
      </c>
      <c r="O12" s="125">
        <v>132.5</v>
      </c>
      <c r="P12" s="109">
        <f t="shared" si="4"/>
        <v>1038.4000000000001</v>
      </c>
      <c r="Q12" s="39">
        <f t="shared" si="0"/>
        <v>15.193</v>
      </c>
      <c r="R12" s="39">
        <f t="shared" si="1"/>
        <v>5.7688888888888892</v>
      </c>
      <c r="S12" s="128">
        <f t="shared" si="5"/>
        <v>0.73806169540927857</v>
      </c>
      <c r="T12" s="92">
        <f t="shared" si="6"/>
        <v>2772.9</v>
      </c>
      <c r="U12" s="85"/>
      <c r="V12" s="85"/>
      <c r="W12" s="77"/>
    </row>
    <row r="13" spans="1:75" s="107" customFormat="1" ht="18.75" hidden="1">
      <c r="A13" s="120">
        <v>75</v>
      </c>
      <c r="B13" s="106">
        <v>93</v>
      </c>
      <c r="C13" s="52">
        <v>741</v>
      </c>
      <c r="D13" s="52">
        <v>164.1</v>
      </c>
      <c r="E13" s="65">
        <v>294.7</v>
      </c>
      <c r="F13" s="65">
        <v>510.9</v>
      </c>
      <c r="G13" s="65">
        <v>52.7</v>
      </c>
      <c r="H13" s="66"/>
      <c r="I13" s="66"/>
      <c r="J13" s="96">
        <v>154</v>
      </c>
      <c r="K13" s="97">
        <f>516.3+39.9</f>
        <v>556.19999999999993</v>
      </c>
      <c r="L13" s="123">
        <f t="shared" si="2"/>
        <v>2473.6</v>
      </c>
      <c r="M13" s="42">
        <v>29.2</v>
      </c>
      <c r="N13" s="138">
        <f t="shared" si="3"/>
        <v>858.3</v>
      </c>
      <c r="O13" s="125">
        <v>114.3</v>
      </c>
      <c r="P13" s="109">
        <f t="shared" si="4"/>
        <v>972.59999999999991</v>
      </c>
      <c r="Q13" s="39">
        <f t="shared" si="0"/>
        <v>26.597999999999999</v>
      </c>
      <c r="R13" s="39">
        <f t="shared" si="1"/>
        <v>10.458064516129031</v>
      </c>
      <c r="S13" s="157">
        <f t="shared" si="5"/>
        <v>1.2921059023560844</v>
      </c>
      <c r="T13" s="92">
        <f t="shared" si="6"/>
        <v>2502.7999999999997</v>
      </c>
      <c r="U13" s="85"/>
      <c r="V13" s="80"/>
      <c r="W13" s="77"/>
      <c r="X13" s="80"/>
      <c r="Y13" s="80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</row>
    <row r="14" spans="1:75" s="107" customFormat="1" ht="120">
      <c r="A14" s="8" t="s">
        <v>11</v>
      </c>
      <c r="B14" s="81" t="s">
        <v>260</v>
      </c>
      <c r="C14" s="71">
        <v>211</v>
      </c>
      <c r="D14" s="71">
        <v>213</v>
      </c>
      <c r="E14" s="153" t="s">
        <v>13</v>
      </c>
      <c r="F14" s="153" t="s">
        <v>267</v>
      </c>
      <c r="G14" s="153" t="s">
        <v>12</v>
      </c>
      <c r="H14" s="153" t="s">
        <v>14</v>
      </c>
      <c r="I14" s="153" t="s">
        <v>269</v>
      </c>
      <c r="J14" s="71" t="s">
        <v>15</v>
      </c>
      <c r="K14" s="73" t="s">
        <v>261</v>
      </c>
      <c r="L14" s="82" t="s">
        <v>296</v>
      </c>
      <c r="M14" s="139" t="s">
        <v>310</v>
      </c>
      <c r="N14" s="135" t="s">
        <v>297</v>
      </c>
      <c r="O14" s="136" t="s">
        <v>298</v>
      </c>
      <c r="P14" s="137" t="s">
        <v>312</v>
      </c>
      <c r="Q14" s="148" t="s">
        <v>307</v>
      </c>
      <c r="R14" s="149" t="s">
        <v>309</v>
      </c>
      <c r="S14" s="8" t="s">
        <v>313</v>
      </c>
      <c r="T14" s="43" t="s">
        <v>293</v>
      </c>
      <c r="U14" s="85"/>
      <c r="V14" s="80"/>
      <c r="W14" s="77"/>
      <c r="X14" s="80"/>
      <c r="Y14" s="80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</row>
    <row r="15" spans="1:75" s="107" customFormat="1" ht="18.75">
      <c r="A15" s="120">
        <v>80</v>
      </c>
      <c r="B15" s="106">
        <v>360</v>
      </c>
      <c r="C15" s="52">
        <v>1529</v>
      </c>
      <c r="D15" s="52">
        <v>338.5</v>
      </c>
      <c r="E15" s="65">
        <v>665.2</v>
      </c>
      <c r="F15" s="65">
        <v>1459.3</v>
      </c>
      <c r="G15" s="65">
        <v>112</v>
      </c>
      <c r="H15" s="66"/>
      <c r="I15" s="66"/>
      <c r="J15" s="90">
        <v>239</v>
      </c>
      <c r="K15" s="107">
        <f>1708.9+132.3</f>
        <v>1841.2</v>
      </c>
      <c r="L15" s="123">
        <f t="shared" si="2"/>
        <v>6184.2</v>
      </c>
      <c r="M15" s="42">
        <v>30.7</v>
      </c>
      <c r="N15" s="138">
        <f t="shared" si="3"/>
        <v>2236.5</v>
      </c>
      <c r="O15" s="125">
        <v>186</v>
      </c>
      <c r="P15" s="109">
        <f t="shared" si="4"/>
        <v>2422.5</v>
      </c>
      <c r="Q15" s="39">
        <f t="shared" si="0"/>
        <v>17.178000000000001</v>
      </c>
      <c r="R15" s="39">
        <f t="shared" si="1"/>
        <v>6.729166666666667</v>
      </c>
      <c r="S15" s="128">
        <f t="shared" si="5"/>
        <v>0.83449113432110755</v>
      </c>
      <c r="T15" s="92">
        <f t="shared" si="6"/>
        <v>6214.9</v>
      </c>
      <c r="U15" s="85"/>
      <c r="V15" s="80"/>
      <c r="W15" s="77"/>
      <c r="X15" s="80"/>
      <c r="Y15" s="80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</row>
    <row r="16" spans="1:75" ht="18.75" hidden="1">
      <c r="A16" s="7" t="s">
        <v>74</v>
      </c>
      <c r="B16" s="89">
        <v>166</v>
      </c>
      <c r="C16" s="51">
        <v>741</v>
      </c>
      <c r="D16" s="51">
        <v>164.1</v>
      </c>
      <c r="E16" s="63">
        <v>397.1</v>
      </c>
      <c r="F16" s="63">
        <v>498.6</v>
      </c>
      <c r="G16" s="63">
        <v>50.5</v>
      </c>
      <c r="H16" s="64"/>
      <c r="I16" s="64"/>
      <c r="J16" s="108">
        <v>150</v>
      </c>
      <c r="K16" s="6">
        <f>663.5+51.4</f>
        <v>714.9</v>
      </c>
      <c r="L16" s="123">
        <f t="shared" si="2"/>
        <v>2716.2</v>
      </c>
      <c r="M16" s="42">
        <v>27.3</v>
      </c>
      <c r="N16" s="138">
        <f t="shared" si="3"/>
        <v>946.2</v>
      </c>
      <c r="O16" s="125">
        <v>84</v>
      </c>
      <c r="P16" s="109">
        <f t="shared" si="4"/>
        <v>1030.2</v>
      </c>
      <c r="Q16" s="39">
        <f t="shared" si="0"/>
        <v>16.363</v>
      </c>
      <c r="R16" s="39">
        <f t="shared" si="1"/>
        <v>6.2060240963855424</v>
      </c>
      <c r="S16" s="128">
        <f t="shared" si="5"/>
        <v>0.79489919844546997</v>
      </c>
      <c r="T16" s="92">
        <f t="shared" si="6"/>
        <v>2743.5</v>
      </c>
      <c r="U16" s="85"/>
      <c r="W16" s="77"/>
    </row>
    <row r="17" spans="1:75" s="107" customFormat="1" ht="18.75" hidden="1">
      <c r="A17" s="120">
        <v>85</v>
      </c>
      <c r="B17" s="106">
        <v>87</v>
      </c>
      <c r="C17" s="52">
        <v>741</v>
      </c>
      <c r="D17" s="52">
        <v>164.1</v>
      </c>
      <c r="E17" s="65">
        <v>275.10000000000002</v>
      </c>
      <c r="F17" s="65">
        <v>515.1</v>
      </c>
      <c r="G17" s="65">
        <v>41.5</v>
      </c>
      <c r="H17" s="66"/>
      <c r="I17" s="66"/>
      <c r="J17" s="96">
        <v>154</v>
      </c>
      <c r="K17" s="97">
        <f>667.2+51.6</f>
        <v>718.80000000000007</v>
      </c>
      <c r="L17" s="123">
        <f t="shared" si="2"/>
        <v>2609.6</v>
      </c>
      <c r="M17" s="42">
        <v>33.299999999999997</v>
      </c>
      <c r="N17" s="138">
        <f t="shared" si="3"/>
        <v>831.7</v>
      </c>
      <c r="O17" s="125">
        <v>95.2</v>
      </c>
      <c r="P17" s="109">
        <f t="shared" si="4"/>
        <v>926.90000000000009</v>
      </c>
      <c r="Q17" s="39">
        <f t="shared" si="0"/>
        <v>29.995000000000001</v>
      </c>
      <c r="R17" s="39">
        <f t="shared" si="1"/>
        <v>10.654022988505748</v>
      </c>
      <c r="S17" s="157">
        <f t="shared" si="5"/>
        <v>1.4571289774107359</v>
      </c>
      <c r="T17" s="92">
        <f t="shared" si="6"/>
        <v>2642.9</v>
      </c>
      <c r="U17" s="85"/>
      <c r="V17" s="80"/>
      <c r="W17" s="77"/>
      <c r="X17" s="80"/>
      <c r="Y17" s="80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</row>
    <row r="18" spans="1:75" s="107" customFormat="1" ht="18.75" hidden="1">
      <c r="A18" s="120">
        <v>104</v>
      </c>
      <c r="B18" s="106">
        <v>270</v>
      </c>
      <c r="C18" s="52">
        <v>1022.4</v>
      </c>
      <c r="D18" s="52">
        <v>226.4</v>
      </c>
      <c r="E18" s="65">
        <v>445.3</v>
      </c>
      <c r="F18" s="65">
        <f>904.3+116.1</f>
        <v>1020.4</v>
      </c>
      <c r="G18" s="65">
        <v>126.9</v>
      </c>
      <c r="H18" s="66"/>
      <c r="I18" s="66"/>
      <c r="J18" s="96">
        <v>177</v>
      </c>
      <c r="K18" s="97">
        <f>1243.5+96.3</f>
        <v>1339.8</v>
      </c>
      <c r="L18" s="123">
        <f t="shared" si="2"/>
        <v>4358.2</v>
      </c>
      <c r="M18" s="42">
        <v>56.7</v>
      </c>
      <c r="N18" s="138">
        <f t="shared" si="3"/>
        <v>1592.6000000000001</v>
      </c>
      <c r="O18" s="125">
        <v>122</v>
      </c>
      <c r="P18" s="109">
        <f t="shared" si="4"/>
        <v>1714.6000000000001</v>
      </c>
      <c r="Q18" s="39">
        <f t="shared" si="0"/>
        <v>16.140999999999998</v>
      </c>
      <c r="R18" s="39">
        <f t="shared" si="1"/>
        <v>6.3503703703703707</v>
      </c>
      <c r="S18" s="128">
        <f t="shared" si="5"/>
        <v>0.78411464658732077</v>
      </c>
      <c r="T18" s="92">
        <f t="shared" si="6"/>
        <v>4414.8999999999996</v>
      </c>
      <c r="U18" s="85"/>
      <c r="V18" s="80"/>
      <c r="W18" s="77"/>
      <c r="X18" s="80"/>
      <c r="Y18" s="80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</row>
    <row r="19" spans="1:75" s="107" customFormat="1" ht="18.75" hidden="1">
      <c r="A19" s="120">
        <v>106</v>
      </c>
      <c r="B19" s="106">
        <v>66</v>
      </c>
      <c r="C19" s="52">
        <v>694.1</v>
      </c>
      <c r="D19" s="52">
        <v>153.69999999999999</v>
      </c>
      <c r="E19" s="65">
        <v>219.4</v>
      </c>
      <c r="F19" s="65">
        <v>370.9</v>
      </c>
      <c r="G19" s="65">
        <v>38.1</v>
      </c>
      <c r="H19" s="66"/>
      <c r="I19" s="66"/>
      <c r="J19" s="96">
        <v>130</v>
      </c>
      <c r="K19" s="97">
        <f>354.5+27.5</f>
        <v>382</v>
      </c>
      <c r="L19" s="123">
        <f t="shared" si="2"/>
        <v>1988.2</v>
      </c>
      <c r="M19" s="42">
        <v>18.899999999999999</v>
      </c>
      <c r="N19" s="138">
        <f t="shared" si="3"/>
        <v>628.4</v>
      </c>
      <c r="O19" s="125">
        <v>107.8</v>
      </c>
      <c r="P19" s="109">
        <f t="shared" si="4"/>
        <v>736.19999999999993</v>
      </c>
      <c r="Q19" s="39">
        <f t="shared" si="0"/>
        <v>30.123999999999999</v>
      </c>
      <c r="R19" s="39">
        <f t="shared" si="1"/>
        <v>11.154545454545454</v>
      </c>
      <c r="S19" s="157">
        <f t="shared" si="5"/>
        <v>1.4633956764634442</v>
      </c>
      <c r="T19" s="92">
        <f t="shared" si="6"/>
        <v>2007.1000000000001</v>
      </c>
      <c r="U19" s="85"/>
      <c r="V19" s="80"/>
      <c r="W19" s="77"/>
      <c r="X19" s="80"/>
      <c r="Y19" s="80"/>
      <c r="Z19" s="87"/>
      <c r="AA19" s="87"/>
      <c r="AB19" s="87"/>
      <c r="AC19" s="87"/>
      <c r="AD19" s="87"/>
      <c r="AE19" s="87"/>
      <c r="AF19" s="87"/>
      <c r="AG19" s="87"/>
      <c r="AH19" s="87"/>
      <c r="AI19" s="87"/>
      <c r="AJ19" s="87"/>
      <c r="AK19" s="87"/>
      <c r="AL19" s="87"/>
      <c r="AM19" s="87"/>
      <c r="AN19" s="87"/>
      <c r="AO19" s="87"/>
      <c r="AP19" s="87"/>
      <c r="AQ19" s="87"/>
      <c r="AR19" s="87"/>
      <c r="AS19" s="87"/>
      <c r="AT19" s="87"/>
      <c r="AU19" s="87"/>
      <c r="AV19" s="87"/>
      <c r="AW19" s="87"/>
      <c r="AX19" s="87"/>
      <c r="AY19" s="87"/>
      <c r="AZ19" s="87"/>
      <c r="BA19" s="87"/>
      <c r="BB19" s="87"/>
      <c r="BC19" s="87"/>
      <c r="BD19" s="87"/>
      <c r="BE19" s="87"/>
      <c r="BF19" s="87"/>
      <c r="BG19" s="87"/>
      <c r="BH19" s="87"/>
      <c r="BI19" s="87"/>
      <c r="BJ19" s="87"/>
      <c r="BK19" s="87"/>
      <c r="BL19" s="87"/>
      <c r="BM19" s="87"/>
      <c r="BN19" s="87"/>
      <c r="BO19" s="87"/>
      <c r="BP19" s="87"/>
      <c r="BQ19" s="87"/>
      <c r="BR19" s="87"/>
      <c r="BS19" s="87"/>
      <c r="BT19" s="87"/>
      <c r="BU19" s="87"/>
      <c r="BV19" s="87"/>
      <c r="BW19" s="87"/>
    </row>
    <row r="20" spans="1:75" ht="18.75">
      <c r="A20" s="7" t="s">
        <v>75</v>
      </c>
      <c r="B20" s="89">
        <v>308</v>
      </c>
      <c r="C20" s="51">
        <v>1482.1</v>
      </c>
      <c r="D20" s="51">
        <v>328.2</v>
      </c>
      <c r="E20" s="63">
        <v>537.1</v>
      </c>
      <c r="F20" s="63">
        <v>1313.8</v>
      </c>
      <c r="G20" s="63">
        <v>120.4</v>
      </c>
      <c r="H20" s="64"/>
      <c r="I20" s="64"/>
      <c r="J20" s="108">
        <v>217</v>
      </c>
      <c r="K20" s="6">
        <f>1368.9+106</f>
        <v>1474.9</v>
      </c>
      <c r="L20" s="123">
        <f t="shared" si="2"/>
        <v>5473.5</v>
      </c>
      <c r="M20" s="42">
        <v>68.5</v>
      </c>
      <c r="N20" s="138">
        <f t="shared" si="3"/>
        <v>1971.3000000000002</v>
      </c>
      <c r="O20" s="125">
        <v>153.4</v>
      </c>
      <c r="P20" s="109">
        <f t="shared" si="4"/>
        <v>2124.7000000000003</v>
      </c>
      <c r="Q20" s="39">
        <f t="shared" si="0"/>
        <v>17.771000000000001</v>
      </c>
      <c r="R20" s="39">
        <f t="shared" si="1"/>
        <v>6.8983766233766239</v>
      </c>
      <c r="S20" s="128">
        <f t="shared" si="5"/>
        <v>0.86329851833859605</v>
      </c>
      <c r="T20" s="92">
        <f t="shared" si="6"/>
        <v>5542</v>
      </c>
      <c r="U20" s="85"/>
      <c r="W20" s="77"/>
    </row>
    <row r="21" spans="1:75" ht="18.75" hidden="1">
      <c r="A21" s="7" t="s">
        <v>76</v>
      </c>
      <c r="B21" s="89">
        <v>176</v>
      </c>
      <c r="C21" s="51">
        <v>741</v>
      </c>
      <c r="D21" s="51">
        <v>164.1</v>
      </c>
      <c r="E21" s="63">
        <v>314.3</v>
      </c>
      <c r="F21" s="63">
        <v>665.7</v>
      </c>
      <c r="G21" s="63">
        <v>131.69999999999999</v>
      </c>
      <c r="H21" s="64"/>
      <c r="I21" s="64"/>
      <c r="J21" s="108">
        <v>154</v>
      </c>
      <c r="K21" s="6">
        <f>765.3+59.2</f>
        <v>824.5</v>
      </c>
      <c r="L21" s="123">
        <f t="shared" si="2"/>
        <v>2995.3</v>
      </c>
      <c r="M21" s="42">
        <v>23.5</v>
      </c>
      <c r="N21" s="138">
        <f t="shared" si="3"/>
        <v>1111.7</v>
      </c>
      <c r="O21" s="125">
        <v>101.7</v>
      </c>
      <c r="P21" s="109">
        <f t="shared" si="4"/>
        <v>1213.4000000000001</v>
      </c>
      <c r="Q21" s="39">
        <f t="shared" si="0"/>
        <v>17.018999999999998</v>
      </c>
      <c r="R21" s="39">
        <f t="shared" si="1"/>
        <v>6.894318181818182</v>
      </c>
      <c r="S21" s="128">
        <f t="shared" si="5"/>
        <v>0.82676706339567629</v>
      </c>
      <c r="T21" s="92">
        <f t="shared" si="6"/>
        <v>3018.8</v>
      </c>
      <c r="U21" s="85"/>
      <c r="W21" s="77"/>
    </row>
    <row r="22" spans="1:75" s="107" customFormat="1" ht="18.75" hidden="1">
      <c r="A22" s="120">
        <v>123</v>
      </c>
      <c r="B22" s="106">
        <v>181</v>
      </c>
      <c r="C22" s="52">
        <v>787.9</v>
      </c>
      <c r="D22" s="52">
        <v>174.5</v>
      </c>
      <c r="E22" s="65">
        <v>399.5</v>
      </c>
      <c r="F22" s="65">
        <v>600.1</v>
      </c>
      <c r="G22" s="65">
        <v>68.900000000000006</v>
      </c>
      <c r="H22" s="66"/>
      <c r="I22" s="66"/>
      <c r="J22" s="96">
        <v>154</v>
      </c>
      <c r="K22" s="97">
        <f>736.3+57</f>
        <v>793.3</v>
      </c>
      <c r="L22" s="123">
        <f t="shared" si="2"/>
        <v>2978.2</v>
      </c>
      <c r="M22" s="42">
        <v>24.8</v>
      </c>
      <c r="N22" s="138">
        <f t="shared" si="3"/>
        <v>1068.5</v>
      </c>
      <c r="O22" s="125">
        <v>134.5</v>
      </c>
      <c r="P22" s="109">
        <f t="shared" si="4"/>
        <v>1203</v>
      </c>
      <c r="Q22" s="39">
        <f t="shared" si="0"/>
        <v>16.454000000000001</v>
      </c>
      <c r="R22" s="39">
        <f t="shared" si="1"/>
        <v>6.6464088397790055</v>
      </c>
      <c r="S22" s="128">
        <f t="shared" si="5"/>
        <v>0.79931989312606266</v>
      </c>
      <c r="T22" s="92">
        <f t="shared" si="6"/>
        <v>3003</v>
      </c>
      <c r="U22" s="85"/>
      <c r="V22" s="80"/>
      <c r="W22" s="77"/>
      <c r="X22" s="80"/>
      <c r="Y22" s="80"/>
      <c r="Z22" s="87"/>
      <c r="AA22" s="87"/>
      <c r="AB22" s="87"/>
      <c r="AC22" s="87"/>
      <c r="AD22" s="87"/>
      <c r="AE22" s="87"/>
      <c r="AF22" s="87"/>
      <c r="AG22" s="87"/>
      <c r="AH22" s="87"/>
      <c r="AI22" s="87"/>
      <c r="AJ22" s="87"/>
      <c r="AK22" s="87"/>
      <c r="AL22" s="87"/>
      <c r="AM22" s="87"/>
      <c r="AN22" s="87"/>
      <c r="AO22" s="87"/>
      <c r="AP22" s="87"/>
      <c r="AQ22" s="87"/>
      <c r="AR22" s="87"/>
      <c r="AS22" s="87"/>
      <c r="AT22" s="87"/>
      <c r="AU22" s="87"/>
      <c r="AV22" s="87"/>
      <c r="AW22" s="87"/>
      <c r="AX22" s="87"/>
      <c r="AY22" s="87"/>
      <c r="AZ22" s="87"/>
      <c r="BA22" s="87"/>
      <c r="BB22" s="87"/>
      <c r="BC22" s="87"/>
      <c r="BD22" s="87"/>
      <c r="BE22" s="87"/>
      <c r="BF22" s="87"/>
      <c r="BG22" s="87"/>
      <c r="BH22" s="87"/>
      <c r="BI22" s="87"/>
      <c r="BJ22" s="87"/>
      <c r="BK22" s="87"/>
      <c r="BL22" s="87"/>
      <c r="BM22" s="87"/>
      <c r="BN22" s="87"/>
      <c r="BO22" s="87"/>
      <c r="BP22" s="87"/>
      <c r="BQ22" s="87"/>
      <c r="BR22" s="87"/>
      <c r="BS22" s="87"/>
      <c r="BT22" s="87"/>
      <c r="BU22" s="87"/>
      <c r="BV22" s="87"/>
      <c r="BW22" s="87"/>
    </row>
    <row r="23" spans="1:75" ht="18.75" hidden="1">
      <c r="A23" s="7" t="s">
        <v>77</v>
      </c>
      <c r="B23" s="89">
        <v>215</v>
      </c>
      <c r="C23" s="51">
        <v>787.9</v>
      </c>
      <c r="D23" s="51">
        <v>174.5</v>
      </c>
      <c r="E23" s="63">
        <v>311.10000000000002</v>
      </c>
      <c r="F23" s="63">
        <v>790.8</v>
      </c>
      <c r="G23" s="63">
        <v>49.1</v>
      </c>
      <c r="H23" s="64"/>
      <c r="I23" s="64"/>
      <c r="J23" s="108">
        <v>154</v>
      </c>
      <c r="K23" s="6">
        <f>885.3+68.5</f>
        <v>953.8</v>
      </c>
      <c r="L23" s="123">
        <f t="shared" si="2"/>
        <v>3221.2</v>
      </c>
      <c r="M23" s="42">
        <v>34.9</v>
      </c>
      <c r="N23" s="138">
        <f t="shared" si="3"/>
        <v>1151</v>
      </c>
      <c r="O23" s="125">
        <v>122.9</v>
      </c>
      <c r="P23" s="109">
        <f t="shared" si="4"/>
        <v>1273.9000000000001</v>
      </c>
      <c r="Q23" s="39">
        <f t="shared" si="0"/>
        <v>14.981999999999999</v>
      </c>
      <c r="R23" s="39">
        <f t="shared" si="1"/>
        <v>5.9251162790697682</v>
      </c>
      <c r="S23" s="128">
        <f t="shared" si="5"/>
        <v>0.72781151323779447</v>
      </c>
      <c r="T23" s="92">
        <f t="shared" si="6"/>
        <v>3256.1</v>
      </c>
      <c r="U23" s="85"/>
      <c r="W23" s="77"/>
    </row>
    <row r="24" spans="1:75" ht="18.75" hidden="1">
      <c r="A24" s="7" t="s">
        <v>78</v>
      </c>
      <c r="B24" s="89">
        <v>177</v>
      </c>
      <c r="C24" s="51">
        <v>787.9</v>
      </c>
      <c r="D24" s="51">
        <v>174.5</v>
      </c>
      <c r="E24" s="63">
        <v>360.2</v>
      </c>
      <c r="F24" s="63">
        <v>657.9</v>
      </c>
      <c r="G24" s="63">
        <v>97.2</v>
      </c>
      <c r="H24" s="64"/>
      <c r="I24" s="64"/>
      <c r="J24" s="108">
        <v>154</v>
      </c>
      <c r="K24" s="6">
        <f>703.5+54.5</f>
        <v>758</v>
      </c>
      <c r="L24" s="123">
        <f t="shared" si="2"/>
        <v>2989.7</v>
      </c>
      <c r="M24" s="42">
        <v>30.7</v>
      </c>
      <c r="N24" s="138">
        <f t="shared" si="3"/>
        <v>1115.3</v>
      </c>
      <c r="O24" s="125">
        <v>99.1</v>
      </c>
      <c r="P24" s="109">
        <f t="shared" si="4"/>
        <v>1214.3999999999999</v>
      </c>
      <c r="Q24" s="39">
        <f t="shared" si="0"/>
        <v>16.890999999999998</v>
      </c>
      <c r="R24" s="39">
        <f t="shared" si="1"/>
        <v>6.8610169491525417</v>
      </c>
      <c r="S24" s="128">
        <f t="shared" si="5"/>
        <v>0.82054894340539219</v>
      </c>
      <c r="T24" s="92">
        <f t="shared" si="6"/>
        <v>3020.3999999999996</v>
      </c>
      <c r="U24" s="85"/>
      <c r="W24" s="77"/>
    </row>
    <row r="25" spans="1:75" ht="18.75" hidden="1">
      <c r="A25" s="7" t="s">
        <v>79</v>
      </c>
      <c r="B25" s="89">
        <v>179</v>
      </c>
      <c r="C25" s="51">
        <v>741</v>
      </c>
      <c r="D25" s="51">
        <v>164.1</v>
      </c>
      <c r="E25" s="63">
        <v>394.6</v>
      </c>
      <c r="F25" s="63">
        <v>650.9</v>
      </c>
      <c r="G25" s="63">
        <v>80.099999999999994</v>
      </c>
      <c r="H25" s="64"/>
      <c r="I25" s="64"/>
      <c r="J25" s="108">
        <v>154</v>
      </c>
      <c r="K25" s="6">
        <f>839.9+65</f>
        <v>904.9</v>
      </c>
      <c r="L25" s="123">
        <f t="shared" si="2"/>
        <v>3089.6</v>
      </c>
      <c r="M25" s="42">
        <v>69</v>
      </c>
      <c r="N25" s="138">
        <f t="shared" si="3"/>
        <v>1125.5999999999999</v>
      </c>
      <c r="O25" s="125">
        <v>126.2</v>
      </c>
      <c r="P25" s="109">
        <f t="shared" si="4"/>
        <v>1251.8</v>
      </c>
      <c r="Q25" s="39">
        <f t="shared" si="0"/>
        <v>17.260000000000002</v>
      </c>
      <c r="R25" s="39">
        <f t="shared" si="1"/>
        <v>6.993296089385475</v>
      </c>
      <c r="S25" s="128">
        <f t="shared" si="5"/>
        <v>0.8384746174398835</v>
      </c>
      <c r="T25" s="92">
        <f t="shared" si="6"/>
        <v>3158.6</v>
      </c>
      <c r="U25" s="85"/>
      <c r="W25" s="77"/>
    </row>
    <row r="26" spans="1:75" s="107" customFormat="1" ht="18.75" hidden="1">
      <c r="A26" s="120">
        <v>139</v>
      </c>
      <c r="B26" s="106">
        <v>92</v>
      </c>
      <c r="C26" s="52">
        <v>741</v>
      </c>
      <c r="D26" s="52">
        <v>164.1</v>
      </c>
      <c r="E26" s="65">
        <v>340.6</v>
      </c>
      <c r="F26" s="65">
        <v>519.70000000000005</v>
      </c>
      <c r="G26" s="65">
        <v>48</v>
      </c>
      <c r="H26" s="66"/>
      <c r="I26" s="66"/>
      <c r="J26" s="96">
        <v>154</v>
      </c>
      <c r="K26" s="97">
        <f>527.2+40.8</f>
        <v>568</v>
      </c>
      <c r="L26" s="123">
        <f t="shared" si="2"/>
        <v>2535.4</v>
      </c>
      <c r="M26" s="42">
        <v>31.3</v>
      </c>
      <c r="N26" s="138">
        <f t="shared" si="3"/>
        <v>908.30000000000007</v>
      </c>
      <c r="O26" s="125">
        <v>110.7</v>
      </c>
      <c r="P26" s="109">
        <f t="shared" si="4"/>
        <v>1019.0000000000001</v>
      </c>
      <c r="Q26" s="39">
        <f t="shared" si="0"/>
        <v>27.559000000000001</v>
      </c>
      <c r="R26" s="39">
        <f t="shared" si="1"/>
        <v>11.07608695652174</v>
      </c>
      <c r="S26" s="157">
        <f t="shared" si="5"/>
        <v>1.3387903813456401</v>
      </c>
      <c r="T26" s="92">
        <f t="shared" si="6"/>
        <v>2566.7000000000003</v>
      </c>
      <c r="U26" s="85"/>
      <c r="V26" s="80"/>
      <c r="W26" s="77"/>
      <c r="X26" s="80"/>
      <c r="Y26" s="80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  <c r="BW26" s="87"/>
    </row>
    <row r="27" spans="1:75" ht="18.75" hidden="1">
      <c r="A27" s="7" t="s">
        <v>80</v>
      </c>
      <c r="B27" s="89">
        <v>212</v>
      </c>
      <c r="C27" s="51">
        <v>881.7</v>
      </c>
      <c r="D27" s="51">
        <v>195.2</v>
      </c>
      <c r="E27" s="63">
        <v>585.70000000000005</v>
      </c>
      <c r="F27" s="63">
        <v>829.3</v>
      </c>
      <c r="G27" s="63">
        <v>93.6</v>
      </c>
      <c r="H27" s="64"/>
      <c r="I27" s="64"/>
      <c r="J27" s="108">
        <v>154</v>
      </c>
      <c r="K27" s="6">
        <f>816.2+63.2</f>
        <v>879.40000000000009</v>
      </c>
      <c r="L27" s="123">
        <f t="shared" si="2"/>
        <v>3618.9</v>
      </c>
      <c r="M27" s="42">
        <v>32.799999999999997</v>
      </c>
      <c r="N27" s="138">
        <f t="shared" si="3"/>
        <v>1508.6</v>
      </c>
      <c r="O27" s="125">
        <v>127.5</v>
      </c>
      <c r="P27" s="109">
        <f t="shared" si="4"/>
        <v>1636.1</v>
      </c>
      <c r="Q27" s="39">
        <f t="shared" si="0"/>
        <v>17.07</v>
      </c>
      <c r="R27" s="39">
        <f t="shared" si="1"/>
        <v>7.7174528301886784</v>
      </c>
      <c r="S27" s="128">
        <f t="shared" si="5"/>
        <v>0.8292445955793053</v>
      </c>
      <c r="T27" s="92">
        <f t="shared" si="6"/>
        <v>3651.7000000000003</v>
      </c>
      <c r="U27" s="85"/>
      <c r="W27" s="77"/>
    </row>
    <row r="28" spans="1:75" ht="18.75" hidden="1">
      <c r="A28" s="7" t="s">
        <v>81</v>
      </c>
      <c r="B28" s="89">
        <v>179</v>
      </c>
      <c r="C28" s="51">
        <v>741</v>
      </c>
      <c r="D28" s="51">
        <v>164.1</v>
      </c>
      <c r="E28" s="63">
        <v>340.6</v>
      </c>
      <c r="F28" s="63">
        <v>741.9</v>
      </c>
      <c r="G28" s="63">
        <v>83.4</v>
      </c>
      <c r="H28" s="64"/>
      <c r="I28" s="64"/>
      <c r="J28" s="108">
        <v>154</v>
      </c>
      <c r="K28" s="6">
        <f>874.4+67.8</f>
        <v>942.19999999999993</v>
      </c>
      <c r="L28" s="123">
        <f t="shared" si="2"/>
        <v>3167.2</v>
      </c>
      <c r="M28" s="42">
        <v>40</v>
      </c>
      <c r="N28" s="138">
        <f t="shared" si="3"/>
        <v>1165.9000000000001</v>
      </c>
      <c r="O28" s="125">
        <v>107.1</v>
      </c>
      <c r="P28" s="109">
        <f t="shared" si="4"/>
        <v>1273</v>
      </c>
      <c r="Q28" s="39">
        <f t="shared" si="0"/>
        <v>17.693999999999999</v>
      </c>
      <c r="R28" s="39">
        <f t="shared" si="1"/>
        <v>7.1117318435754191</v>
      </c>
      <c r="S28" s="128">
        <f t="shared" si="5"/>
        <v>0.85955793053194063</v>
      </c>
      <c r="T28" s="92">
        <f t="shared" si="6"/>
        <v>3207.2</v>
      </c>
      <c r="U28" s="85"/>
      <c r="W28" s="77"/>
    </row>
    <row r="29" spans="1:75" ht="18.75" hidden="1">
      <c r="A29" s="7" t="s">
        <v>82</v>
      </c>
      <c r="B29" s="89">
        <v>195</v>
      </c>
      <c r="C29" s="51">
        <v>787.9</v>
      </c>
      <c r="D29" s="51">
        <v>174.5</v>
      </c>
      <c r="E29" s="63">
        <v>281.60000000000002</v>
      </c>
      <c r="F29" s="63">
        <v>627.5</v>
      </c>
      <c r="G29" s="63">
        <v>80.400000000000006</v>
      </c>
      <c r="H29" s="64"/>
      <c r="I29" s="64"/>
      <c r="J29" s="108">
        <v>154</v>
      </c>
      <c r="K29" s="6">
        <f>834.4+64.7</f>
        <v>899.1</v>
      </c>
      <c r="L29" s="123">
        <f t="shared" si="2"/>
        <v>3005</v>
      </c>
      <c r="M29" s="42">
        <v>37.799999999999997</v>
      </c>
      <c r="N29" s="138">
        <f t="shared" si="3"/>
        <v>989.5</v>
      </c>
      <c r="O29" s="125">
        <v>118.5</v>
      </c>
      <c r="P29" s="109">
        <f t="shared" si="4"/>
        <v>1108</v>
      </c>
      <c r="Q29" s="39">
        <f t="shared" si="0"/>
        <v>15.41</v>
      </c>
      <c r="R29" s="39">
        <f t="shared" si="1"/>
        <v>5.6820512820512823</v>
      </c>
      <c r="S29" s="128">
        <f t="shared" si="5"/>
        <v>0.74860335195530725</v>
      </c>
      <c r="T29" s="92">
        <f t="shared" si="6"/>
        <v>3042.8</v>
      </c>
      <c r="U29" s="85"/>
      <c r="W29" s="77"/>
    </row>
    <row r="30" spans="1:75" s="107" customFormat="1" ht="18.75" hidden="1">
      <c r="A30" s="120">
        <v>153</v>
      </c>
      <c r="B30" s="106">
        <v>177</v>
      </c>
      <c r="C30" s="52">
        <v>834.8</v>
      </c>
      <c r="D30" s="52">
        <v>184.8</v>
      </c>
      <c r="E30" s="65">
        <v>358.4</v>
      </c>
      <c r="F30" s="65">
        <v>581.6</v>
      </c>
      <c r="G30" s="65">
        <v>89</v>
      </c>
      <c r="H30" s="66"/>
      <c r="I30" s="66"/>
      <c r="J30" s="96">
        <v>154</v>
      </c>
      <c r="K30" s="97">
        <f>827.1+64</f>
        <v>891.1</v>
      </c>
      <c r="L30" s="123">
        <f t="shared" si="2"/>
        <v>3093.7</v>
      </c>
      <c r="M30" s="42">
        <v>38.200000000000003</v>
      </c>
      <c r="N30" s="138">
        <f t="shared" si="3"/>
        <v>1029</v>
      </c>
      <c r="O30" s="125">
        <v>93</v>
      </c>
      <c r="P30" s="109">
        <f t="shared" si="4"/>
        <v>1122</v>
      </c>
      <c r="Q30" s="39">
        <f t="shared" si="0"/>
        <v>17.478999999999999</v>
      </c>
      <c r="R30" s="39">
        <f t="shared" si="1"/>
        <v>6.3389830508474576</v>
      </c>
      <c r="S30" s="128">
        <f t="shared" si="5"/>
        <v>0.84911343211076018</v>
      </c>
      <c r="T30" s="92">
        <f t="shared" si="6"/>
        <v>3131.8999999999996</v>
      </c>
      <c r="U30" s="85"/>
      <c r="V30" s="80"/>
      <c r="W30" s="77"/>
      <c r="X30" s="80"/>
      <c r="Y30" s="80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  <c r="BW30" s="87"/>
    </row>
    <row r="31" spans="1:75" ht="18.75" hidden="1">
      <c r="A31" s="7" t="s">
        <v>83</v>
      </c>
      <c r="B31" s="89">
        <v>195</v>
      </c>
      <c r="C31" s="51">
        <v>811.4</v>
      </c>
      <c r="D31" s="51">
        <v>179.7</v>
      </c>
      <c r="E31" s="63">
        <v>375</v>
      </c>
      <c r="F31" s="63">
        <v>598.4</v>
      </c>
      <c r="G31" s="63">
        <v>71.8</v>
      </c>
      <c r="H31" s="64"/>
      <c r="I31" s="64"/>
      <c r="J31" s="108">
        <v>154</v>
      </c>
      <c r="K31" s="6">
        <f>776.3+60.1</f>
        <v>836.4</v>
      </c>
      <c r="L31" s="123">
        <f t="shared" si="2"/>
        <v>3026.7</v>
      </c>
      <c r="M31" s="42">
        <v>38.4</v>
      </c>
      <c r="N31" s="138">
        <f t="shared" si="3"/>
        <v>1045.2</v>
      </c>
      <c r="O31" s="125">
        <v>129.69999999999999</v>
      </c>
      <c r="P31" s="109">
        <f t="shared" si="4"/>
        <v>1174.9000000000001</v>
      </c>
      <c r="Q31" s="39">
        <f t="shared" si="0"/>
        <v>15.522</v>
      </c>
      <c r="R31" s="39">
        <f t="shared" si="1"/>
        <v>6.0251282051282056</v>
      </c>
      <c r="S31" s="128">
        <f t="shared" si="5"/>
        <v>0.75404420694680596</v>
      </c>
      <c r="T31" s="92">
        <f t="shared" si="6"/>
        <v>3065.1</v>
      </c>
      <c r="U31" s="85"/>
      <c r="W31" s="77"/>
    </row>
    <row r="32" spans="1:75" ht="18.75" hidden="1">
      <c r="A32" s="7" t="s">
        <v>84</v>
      </c>
      <c r="B32" s="89">
        <v>179</v>
      </c>
      <c r="C32" s="51">
        <v>741</v>
      </c>
      <c r="D32" s="51">
        <v>164.1</v>
      </c>
      <c r="E32" s="63">
        <v>360.2</v>
      </c>
      <c r="F32" s="63">
        <f>716.3+94.8</f>
        <v>811.09999999999991</v>
      </c>
      <c r="G32" s="63">
        <v>90</v>
      </c>
      <c r="H32" s="64"/>
      <c r="I32" s="64"/>
      <c r="J32" s="108">
        <v>154</v>
      </c>
      <c r="K32" s="6">
        <f>836.3+64.7</f>
        <v>901</v>
      </c>
      <c r="L32" s="123">
        <f t="shared" si="2"/>
        <v>3221.4</v>
      </c>
      <c r="M32" s="42">
        <v>41.6</v>
      </c>
      <c r="N32" s="138">
        <f t="shared" si="3"/>
        <v>1261.3</v>
      </c>
      <c r="O32" s="125">
        <v>113.7</v>
      </c>
      <c r="P32" s="109">
        <f t="shared" si="4"/>
        <v>1375</v>
      </c>
      <c r="Q32" s="39">
        <f t="shared" si="0"/>
        <v>17.997</v>
      </c>
      <c r="R32" s="39">
        <f t="shared" si="1"/>
        <v>7.6815642458100557</v>
      </c>
      <c r="S32" s="128">
        <f t="shared" si="5"/>
        <v>0.8742773864464416</v>
      </c>
      <c r="T32" s="92">
        <f t="shared" si="6"/>
        <v>3263</v>
      </c>
      <c r="U32" s="85"/>
      <c r="W32" s="77"/>
    </row>
    <row r="33" spans="1:75" s="107" customFormat="1" ht="18.75" hidden="1">
      <c r="A33" s="120">
        <v>167</v>
      </c>
      <c r="B33" s="106">
        <v>179</v>
      </c>
      <c r="C33" s="52">
        <v>811.4</v>
      </c>
      <c r="D33" s="52">
        <v>179.7</v>
      </c>
      <c r="E33" s="65">
        <v>385.4</v>
      </c>
      <c r="F33" s="65">
        <f>641+82.7</f>
        <v>723.7</v>
      </c>
      <c r="G33" s="65">
        <v>79.7</v>
      </c>
      <c r="H33" s="66"/>
      <c r="I33" s="66"/>
      <c r="J33" s="96">
        <v>154</v>
      </c>
      <c r="K33" s="97">
        <f>732.6+56.7</f>
        <v>789.30000000000007</v>
      </c>
      <c r="L33" s="123">
        <f t="shared" si="2"/>
        <v>3123.2</v>
      </c>
      <c r="M33" s="42">
        <v>35.9</v>
      </c>
      <c r="N33" s="138">
        <f t="shared" si="3"/>
        <v>1188.8</v>
      </c>
      <c r="O33" s="125">
        <v>127.4</v>
      </c>
      <c r="P33" s="109">
        <f t="shared" si="4"/>
        <v>1316.2</v>
      </c>
      <c r="Q33" s="39">
        <f t="shared" si="0"/>
        <v>17.448</v>
      </c>
      <c r="R33" s="39">
        <f t="shared" si="1"/>
        <v>7.3530726256983243</v>
      </c>
      <c r="S33" s="128">
        <f t="shared" si="5"/>
        <v>0.84760748117561324</v>
      </c>
      <c r="T33" s="92">
        <f t="shared" si="6"/>
        <v>3159.1</v>
      </c>
      <c r="U33" s="85"/>
      <c r="V33" s="80"/>
      <c r="W33" s="77"/>
      <c r="X33" s="80"/>
      <c r="Y33" s="80"/>
      <c r="Z33" s="87"/>
      <c r="AA33" s="87"/>
      <c r="AB33" s="87"/>
      <c r="AC33" s="87"/>
      <c r="AD33" s="87"/>
      <c r="AE33" s="87"/>
      <c r="AF33" s="87"/>
      <c r="AG33" s="87"/>
      <c r="AH33" s="87"/>
      <c r="AI33" s="87"/>
      <c r="AJ33" s="87"/>
      <c r="AK33" s="87"/>
      <c r="AL33" s="87"/>
      <c r="AM33" s="87"/>
      <c r="AN33" s="87"/>
      <c r="AO33" s="87"/>
      <c r="AP33" s="87"/>
      <c r="AQ33" s="87"/>
      <c r="AR33" s="87"/>
      <c r="AS33" s="87"/>
      <c r="AT33" s="87"/>
      <c r="AU33" s="87"/>
      <c r="AV33" s="87"/>
      <c r="AW33" s="87"/>
      <c r="AX33" s="87"/>
      <c r="AY33" s="87"/>
      <c r="AZ33" s="87"/>
      <c r="BA33" s="87"/>
      <c r="BB33" s="87"/>
      <c r="BC33" s="87"/>
      <c r="BD33" s="87"/>
      <c r="BE33" s="87"/>
      <c r="BF33" s="87"/>
      <c r="BG33" s="87"/>
      <c r="BH33" s="87"/>
      <c r="BI33" s="87"/>
      <c r="BJ33" s="87"/>
      <c r="BK33" s="87"/>
      <c r="BL33" s="87"/>
      <c r="BM33" s="87"/>
      <c r="BN33" s="87"/>
      <c r="BO33" s="87"/>
      <c r="BP33" s="87"/>
      <c r="BQ33" s="87"/>
      <c r="BR33" s="87"/>
      <c r="BS33" s="87"/>
      <c r="BT33" s="87"/>
      <c r="BU33" s="87"/>
      <c r="BV33" s="87"/>
      <c r="BW33" s="87"/>
    </row>
    <row r="34" spans="1:75" ht="18.75" hidden="1">
      <c r="A34" s="7" t="s">
        <v>85</v>
      </c>
      <c r="B34" s="89">
        <v>230</v>
      </c>
      <c r="C34" s="51">
        <v>811.4</v>
      </c>
      <c r="D34" s="51">
        <v>179.7</v>
      </c>
      <c r="E34" s="63">
        <v>353.6</v>
      </c>
      <c r="F34" s="63">
        <f>593.2+71.5</f>
        <v>664.7</v>
      </c>
      <c r="G34" s="63">
        <v>130.69999999999999</v>
      </c>
      <c r="H34" s="64"/>
      <c r="I34" s="64"/>
      <c r="J34" s="108">
        <v>154</v>
      </c>
      <c r="K34" s="6">
        <f>1034.4+80.1</f>
        <v>1114.5</v>
      </c>
      <c r="L34" s="123">
        <f t="shared" si="2"/>
        <v>3408.6</v>
      </c>
      <c r="M34" s="42">
        <v>92.5</v>
      </c>
      <c r="N34" s="138">
        <f t="shared" si="3"/>
        <v>1149</v>
      </c>
      <c r="O34" s="125">
        <v>125.5</v>
      </c>
      <c r="P34" s="109">
        <f t="shared" si="4"/>
        <v>1274.5</v>
      </c>
      <c r="Q34" s="39">
        <f t="shared" si="0"/>
        <v>14.82</v>
      </c>
      <c r="R34" s="39">
        <f t="shared" si="1"/>
        <v>5.5413043478260873</v>
      </c>
      <c r="S34" s="128">
        <f t="shared" si="5"/>
        <v>0.71994170512509104</v>
      </c>
      <c r="T34" s="92">
        <f t="shared" si="6"/>
        <v>3501.1</v>
      </c>
      <c r="U34" s="85"/>
      <c r="W34" s="77"/>
    </row>
    <row r="35" spans="1:75" ht="18.75" hidden="1">
      <c r="A35" s="7" t="s">
        <v>86</v>
      </c>
      <c r="B35" s="89">
        <v>211</v>
      </c>
      <c r="C35" s="51">
        <v>881.7</v>
      </c>
      <c r="D35" s="51">
        <v>195.2</v>
      </c>
      <c r="E35" s="63">
        <v>412.6</v>
      </c>
      <c r="F35" s="63">
        <f>632+79.8</f>
        <v>711.8</v>
      </c>
      <c r="G35" s="63">
        <v>90.1</v>
      </c>
      <c r="H35" s="64"/>
      <c r="I35" s="64"/>
      <c r="J35" s="108">
        <v>154</v>
      </c>
      <c r="K35" s="6">
        <f>988.9+76.6</f>
        <v>1065.5</v>
      </c>
      <c r="L35" s="123">
        <f t="shared" si="2"/>
        <v>3510.9</v>
      </c>
      <c r="M35" s="42">
        <v>39.1</v>
      </c>
      <c r="N35" s="138">
        <f t="shared" si="3"/>
        <v>1214.5</v>
      </c>
      <c r="O35" s="125">
        <v>115.5</v>
      </c>
      <c r="P35" s="109">
        <f t="shared" si="4"/>
        <v>1330</v>
      </c>
      <c r="Q35" s="39">
        <f t="shared" si="0"/>
        <v>16.638999999999999</v>
      </c>
      <c r="R35" s="39">
        <f t="shared" si="1"/>
        <v>6.3033175355450233</v>
      </c>
      <c r="S35" s="128">
        <f t="shared" si="5"/>
        <v>0.80830701967452023</v>
      </c>
      <c r="T35" s="92">
        <f t="shared" si="6"/>
        <v>3550</v>
      </c>
      <c r="U35" s="85"/>
      <c r="W35" s="77"/>
    </row>
    <row r="36" spans="1:75" ht="18.75" hidden="1">
      <c r="A36" s="7" t="s">
        <v>87</v>
      </c>
      <c r="B36" s="89">
        <v>169</v>
      </c>
      <c r="C36" s="51">
        <v>741</v>
      </c>
      <c r="D36" s="51">
        <v>164.1</v>
      </c>
      <c r="E36" s="63">
        <v>360.2</v>
      </c>
      <c r="F36" s="63">
        <f>641.8+82.8</f>
        <v>724.59999999999991</v>
      </c>
      <c r="G36" s="63">
        <v>146.9</v>
      </c>
      <c r="H36" s="64"/>
      <c r="I36" s="64"/>
      <c r="J36" s="108">
        <v>154</v>
      </c>
      <c r="K36" s="6">
        <f>690.9+53.5</f>
        <v>744.4</v>
      </c>
      <c r="L36" s="123">
        <f t="shared" si="2"/>
        <v>3035.2</v>
      </c>
      <c r="M36" s="42">
        <v>0</v>
      </c>
      <c r="N36" s="138">
        <f t="shared" si="3"/>
        <v>1231.7</v>
      </c>
      <c r="O36" s="125">
        <v>108.4</v>
      </c>
      <c r="P36" s="109">
        <f t="shared" si="4"/>
        <v>1340.1000000000001</v>
      </c>
      <c r="Q36" s="39">
        <f t="shared" si="0"/>
        <v>17.96</v>
      </c>
      <c r="R36" s="39">
        <f t="shared" si="1"/>
        <v>7.9295857988165688</v>
      </c>
      <c r="S36" s="128">
        <f t="shared" si="5"/>
        <v>0.87247996113675008</v>
      </c>
      <c r="T36" s="92">
        <f t="shared" si="6"/>
        <v>3035.2</v>
      </c>
      <c r="U36" s="85"/>
      <c r="W36" s="77"/>
    </row>
    <row r="37" spans="1:75" ht="18.75" hidden="1">
      <c r="A37" s="7" t="s">
        <v>88</v>
      </c>
      <c r="B37" s="89">
        <v>198</v>
      </c>
      <c r="C37" s="51">
        <v>811.4</v>
      </c>
      <c r="D37" s="51">
        <v>179.7</v>
      </c>
      <c r="E37" s="63">
        <v>386.4</v>
      </c>
      <c r="F37" s="63">
        <f>709.2+92.8</f>
        <v>802</v>
      </c>
      <c r="G37" s="63">
        <v>110.8</v>
      </c>
      <c r="H37" s="64"/>
      <c r="I37" s="64"/>
      <c r="J37" s="108">
        <v>154</v>
      </c>
      <c r="K37" s="6">
        <f>887.1+68.7</f>
        <v>955.80000000000007</v>
      </c>
      <c r="L37" s="123">
        <f t="shared" si="2"/>
        <v>3400.1</v>
      </c>
      <c r="M37" s="42">
        <v>39.4</v>
      </c>
      <c r="N37" s="138">
        <f t="shared" si="3"/>
        <v>1299.2</v>
      </c>
      <c r="O37" s="125">
        <v>111.6</v>
      </c>
      <c r="P37" s="109">
        <f t="shared" si="4"/>
        <v>1410.8</v>
      </c>
      <c r="Q37" s="39">
        <f t="shared" si="0"/>
        <v>17.172000000000001</v>
      </c>
      <c r="R37" s="39">
        <f t="shared" si="1"/>
        <v>7.1252525252525247</v>
      </c>
      <c r="S37" s="128">
        <f t="shared" si="5"/>
        <v>0.83419965994656298</v>
      </c>
      <c r="T37" s="92">
        <f t="shared" si="6"/>
        <v>3439.5</v>
      </c>
      <c r="U37" s="85"/>
      <c r="W37" s="77"/>
    </row>
    <row r="38" spans="1:75" s="107" customFormat="1" ht="18.75" hidden="1">
      <c r="A38" s="120">
        <v>185</v>
      </c>
      <c r="B38" s="106">
        <v>156</v>
      </c>
      <c r="C38" s="52">
        <v>741</v>
      </c>
      <c r="D38" s="52">
        <v>164.1</v>
      </c>
      <c r="E38" s="65">
        <v>243.6</v>
      </c>
      <c r="F38" s="65">
        <v>668.4</v>
      </c>
      <c r="G38" s="65">
        <v>75.3</v>
      </c>
      <c r="H38" s="66"/>
      <c r="I38" s="66"/>
      <c r="J38" s="96">
        <v>154</v>
      </c>
      <c r="K38" s="97">
        <f>2370.6+183.5</f>
        <v>2554.1</v>
      </c>
      <c r="L38" s="123">
        <f t="shared" si="2"/>
        <v>4600.5</v>
      </c>
      <c r="M38" s="42">
        <v>33.9</v>
      </c>
      <c r="N38" s="138">
        <f t="shared" si="3"/>
        <v>987.3</v>
      </c>
      <c r="O38" s="125">
        <v>121.5</v>
      </c>
      <c r="P38" s="109">
        <f t="shared" si="4"/>
        <v>1108.8</v>
      </c>
      <c r="Q38" s="39">
        <f t="shared" si="0"/>
        <v>29.49</v>
      </c>
      <c r="R38" s="39">
        <f t="shared" si="1"/>
        <v>7.1076923076923073</v>
      </c>
      <c r="S38" s="157">
        <f t="shared" si="5"/>
        <v>1.4325965508865677</v>
      </c>
      <c r="T38" s="92">
        <f t="shared" si="6"/>
        <v>4634.3999999999996</v>
      </c>
      <c r="U38" s="85"/>
      <c r="V38" s="80"/>
      <c r="W38" s="77"/>
      <c r="X38" s="80"/>
      <c r="Y38" s="80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</row>
    <row r="39" spans="1:75" ht="18.75" hidden="1">
      <c r="A39" s="7" t="s">
        <v>89</v>
      </c>
      <c r="B39" s="89">
        <v>196</v>
      </c>
      <c r="C39" s="51">
        <v>952.1</v>
      </c>
      <c r="D39" s="51">
        <v>210.8</v>
      </c>
      <c r="E39" s="63">
        <v>587</v>
      </c>
      <c r="F39" s="63">
        <v>1037.3</v>
      </c>
      <c r="G39" s="63">
        <v>111.6</v>
      </c>
      <c r="H39" s="64"/>
      <c r="I39" s="64"/>
      <c r="J39" s="108">
        <v>229</v>
      </c>
      <c r="K39" s="6">
        <f>919.9+71.3</f>
        <v>991.19999999999993</v>
      </c>
      <c r="L39" s="123">
        <f t="shared" si="2"/>
        <v>4119</v>
      </c>
      <c r="M39" s="42">
        <v>26.4</v>
      </c>
      <c r="N39" s="138">
        <f t="shared" si="3"/>
        <v>1735.8999999999999</v>
      </c>
      <c r="O39" s="125">
        <v>94</v>
      </c>
      <c r="P39" s="109">
        <f t="shared" si="4"/>
        <v>1829.8999999999999</v>
      </c>
      <c r="Q39" s="39">
        <f>ROUND(L39/B39,3)</f>
        <v>21.015000000000001</v>
      </c>
      <c r="R39" s="39">
        <f t="shared" si="1"/>
        <v>9.3362244897959172</v>
      </c>
      <c r="S39" s="157">
        <f>Q39/20.585</f>
        <v>1.0208889968423609</v>
      </c>
      <c r="T39" s="154">
        <f t="shared" si="6"/>
        <v>4145.3999999999996</v>
      </c>
      <c r="U39" s="85"/>
      <c r="W39" s="77"/>
    </row>
    <row r="40" spans="1:75" s="107" customFormat="1" ht="18.75" hidden="1">
      <c r="A40" s="120">
        <v>214</v>
      </c>
      <c r="B40" s="106">
        <v>359</v>
      </c>
      <c r="C40" s="52">
        <v>1116.2</v>
      </c>
      <c r="D40" s="52">
        <v>247.1</v>
      </c>
      <c r="E40" s="65">
        <v>499.3</v>
      </c>
      <c r="F40" s="65">
        <f>1280.8+166.5</f>
        <v>1447.3</v>
      </c>
      <c r="G40" s="65">
        <v>148.5</v>
      </c>
      <c r="H40" s="66"/>
      <c r="I40" s="66"/>
      <c r="J40" s="96">
        <v>199</v>
      </c>
      <c r="K40" s="97">
        <f>1734.3+134.2</f>
        <v>1868.5</v>
      </c>
      <c r="L40" s="123">
        <f t="shared" si="2"/>
        <v>5525.9</v>
      </c>
      <c r="M40" s="42">
        <v>65.7</v>
      </c>
      <c r="N40" s="138">
        <f t="shared" si="3"/>
        <v>2095.1</v>
      </c>
      <c r="O40" s="125">
        <v>150.69999999999999</v>
      </c>
      <c r="P40" s="109">
        <f t="shared" si="4"/>
        <v>2245.7999999999997</v>
      </c>
      <c r="Q40" s="39">
        <f t="shared" si="0"/>
        <v>15.391999999999999</v>
      </c>
      <c r="R40" s="39">
        <f t="shared" si="1"/>
        <v>6.2557103064066846</v>
      </c>
      <c r="S40" s="128">
        <f t="shared" si="5"/>
        <v>0.74772892883167352</v>
      </c>
      <c r="T40" s="92">
        <f t="shared" si="6"/>
        <v>5591.5999999999995</v>
      </c>
      <c r="U40" s="85"/>
      <c r="V40" s="80"/>
      <c r="W40" s="77"/>
      <c r="X40" s="80"/>
      <c r="Y40" s="80"/>
      <c r="Z40" s="87"/>
      <c r="AA40" s="87"/>
      <c r="AB40" s="87"/>
      <c r="AC40" s="87"/>
      <c r="AD40" s="87"/>
      <c r="AE40" s="87"/>
      <c r="AF40" s="87"/>
      <c r="AG40" s="87"/>
      <c r="AH40" s="87"/>
      <c r="AI40" s="87"/>
      <c r="AJ40" s="87"/>
      <c r="AK40" s="87"/>
      <c r="AL40" s="87"/>
      <c r="AM40" s="87"/>
      <c r="AN40" s="87"/>
      <c r="AO40" s="87"/>
      <c r="AP40" s="87"/>
      <c r="AQ40" s="87"/>
      <c r="AR40" s="87"/>
      <c r="AS40" s="87"/>
      <c r="AT40" s="87"/>
      <c r="AU40" s="87"/>
      <c r="AV40" s="87"/>
      <c r="AW40" s="87"/>
      <c r="AX40" s="87"/>
      <c r="AY40" s="87"/>
      <c r="AZ40" s="87"/>
      <c r="BA40" s="87"/>
      <c r="BB40" s="87"/>
      <c r="BC40" s="87"/>
      <c r="BD40" s="87"/>
      <c r="BE40" s="87"/>
      <c r="BF40" s="87"/>
      <c r="BG40" s="87"/>
      <c r="BH40" s="87"/>
      <c r="BI40" s="87"/>
      <c r="BJ40" s="87"/>
      <c r="BK40" s="87"/>
      <c r="BL40" s="87"/>
      <c r="BM40" s="87"/>
      <c r="BN40" s="87"/>
      <c r="BO40" s="87"/>
      <c r="BP40" s="87"/>
      <c r="BQ40" s="87"/>
      <c r="BR40" s="87"/>
      <c r="BS40" s="87"/>
      <c r="BT40" s="87"/>
      <c r="BU40" s="87"/>
      <c r="BV40" s="87"/>
      <c r="BW40" s="87"/>
    </row>
    <row r="41" spans="1:75" ht="18.75" hidden="1">
      <c r="A41" s="121" t="s">
        <v>90</v>
      </c>
      <c r="B41" s="89">
        <v>217</v>
      </c>
      <c r="C41" s="51">
        <v>881.7</v>
      </c>
      <c r="D41" s="51">
        <v>195.2</v>
      </c>
      <c r="E41" s="63">
        <v>478.1</v>
      </c>
      <c r="F41" s="63">
        <f>734.3+94.3</f>
        <v>828.59999999999991</v>
      </c>
      <c r="G41" s="63">
        <v>111</v>
      </c>
      <c r="H41" s="64"/>
      <c r="I41" s="64"/>
      <c r="J41" s="108">
        <v>154</v>
      </c>
      <c r="K41" s="6">
        <f>923.5+71.5</f>
        <v>995</v>
      </c>
      <c r="L41" s="123">
        <f t="shared" si="2"/>
        <v>3643.6</v>
      </c>
      <c r="M41" s="42">
        <v>33.799999999999997</v>
      </c>
      <c r="N41" s="138">
        <f t="shared" si="3"/>
        <v>1417.6999999999998</v>
      </c>
      <c r="O41" s="125">
        <v>66.7</v>
      </c>
      <c r="P41" s="109">
        <f t="shared" si="4"/>
        <v>1484.3999999999999</v>
      </c>
      <c r="Q41" s="39">
        <f t="shared" si="0"/>
        <v>16.791</v>
      </c>
      <c r="R41" s="39">
        <f t="shared" si="1"/>
        <v>6.8405529953917048</v>
      </c>
      <c r="S41" s="128">
        <f t="shared" si="5"/>
        <v>0.81569103716298275</v>
      </c>
      <c r="T41" s="92">
        <f t="shared" si="6"/>
        <v>3677.4</v>
      </c>
      <c r="U41" s="85"/>
      <c r="W41" s="77"/>
    </row>
    <row r="42" spans="1:75" ht="18.75" hidden="1">
      <c r="A42" s="7" t="s">
        <v>91</v>
      </c>
      <c r="B42" s="89">
        <v>199</v>
      </c>
      <c r="C42" s="51">
        <v>811.4</v>
      </c>
      <c r="D42" s="51">
        <v>179.7</v>
      </c>
      <c r="E42" s="65">
        <v>320</v>
      </c>
      <c r="F42" s="65">
        <v>792.6</v>
      </c>
      <c r="G42" s="65">
        <v>85.3</v>
      </c>
      <c r="H42" s="64"/>
      <c r="I42" s="64"/>
      <c r="J42" s="108">
        <v>154</v>
      </c>
      <c r="K42" s="6">
        <f>852.5+66.1</f>
        <v>918.6</v>
      </c>
      <c r="L42" s="123">
        <f t="shared" si="2"/>
        <v>3261.6</v>
      </c>
      <c r="M42" s="42">
        <v>27.5</v>
      </c>
      <c r="N42" s="138">
        <f t="shared" si="3"/>
        <v>1197.8999999999999</v>
      </c>
      <c r="O42" s="125">
        <v>117.9</v>
      </c>
      <c r="P42" s="109">
        <f t="shared" si="4"/>
        <v>1315.8</v>
      </c>
      <c r="Q42" s="39">
        <f t="shared" si="0"/>
        <v>16.39</v>
      </c>
      <c r="R42" s="39">
        <f t="shared" si="1"/>
        <v>6.6120603015075377</v>
      </c>
      <c r="S42" s="128">
        <f t="shared" si="5"/>
        <v>0.79621083313092056</v>
      </c>
      <c r="T42" s="92">
        <f t="shared" si="6"/>
        <v>3289.1</v>
      </c>
      <c r="U42" s="85"/>
      <c r="W42" s="77"/>
    </row>
    <row r="43" spans="1:75" s="107" customFormat="1" ht="18.75" hidden="1">
      <c r="A43" s="120">
        <v>226</v>
      </c>
      <c r="B43" s="106">
        <v>458</v>
      </c>
      <c r="C43" s="52">
        <v>1397.6</v>
      </c>
      <c r="D43" s="52">
        <v>309.39999999999998</v>
      </c>
      <c r="E43" s="63">
        <v>776.5</v>
      </c>
      <c r="F43" s="63">
        <f>995.5+128.9</f>
        <v>1124.4000000000001</v>
      </c>
      <c r="G43" s="63">
        <v>138.1</v>
      </c>
      <c r="H43" s="66"/>
      <c r="I43" s="66"/>
      <c r="J43" s="96">
        <v>274</v>
      </c>
      <c r="K43" s="97">
        <f>2165.1+167.6</f>
        <v>2332.6999999999998</v>
      </c>
      <c r="L43" s="123">
        <f t="shared" si="2"/>
        <v>6352.7</v>
      </c>
      <c r="M43" s="42">
        <v>60.5</v>
      </c>
      <c r="N43" s="138">
        <f t="shared" si="3"/>
        <v>2039</v>
      </c>
      <c r="O43" s="125">
        <v>194.9</v>
      </c>
      <c r="P43" s="109">
        <f t="shared" si="4"/>
        <v>2233.9</v>
      </c>
      <c r="Q43" s="39">
        <f t="shared" si="0"/>
        <v>13.871</v>
      </c>
      <c r="R43" s="39">
        <f t="shared" si="1"/>
        <v>4.8775109170305679</v>
      </c>
      <c r="S43" s="128">
        <f t="shared" si="5"/>
        <v>0.67384017488462467</v>
      </c>
      <c r="T43" s="154">
        <f t="shared" si="6"/>
        <v>6413.2</v>
      </c>
      <c r="U43" s="85"/>
      <c r="V43" s="80"/>
      <c r="W43" s="77"/>
      <c r="X43" s="80"/>
      <c r="Y43" s="80"/>
      <c r="Z43" s="87"/>
      <c r="AA43" s="87"/>
      <c r="AB43" s="87"/>
      <c r="AC43" s="87"/>
      <c r="AD43" s="87"/>
      <c r="AE43" s="87"/>
      <c r="AF43" s="87"/>
      <c r="AG43" s="87"/>
      <c r="AH43" s="87"/>
      <c r="AI43" s="87"/>
      <c r="AJ43" s="87"/>
      <c r="AK43" s="87"/>
      <c r="AL43" s="87"/>
      <c r="AM43" s="87"/>
      <c r="AN43" s="87"/>
      <c r="AO43" s="87"/>
      <c r="AP43" s="87"/>
      <c r="AQ43" s="87"/>
      <c r="AR43" s="87"/>
      <c r="AS43" s="87"/>
      <c r="AT43" s="87"/>
      <c r="AU43" s="87"/>
      <c r="AV43" s="87"/>
      <c r="AW43" s="87"/>
      <c r="AX43" s="87"/>
      <c r="AY43" s="87"/>
      <c r="AZ43" s="87"/>
      <c r="BA43" s="87"/>
      <c r="BB43" s="87"/>
      <c r="BC43" s="87"/>
      <c r="BD43" s="87"/>
      <c r="BE43" s="87"/>
      <c r="BF43" s="87"/>
      <c r="BG43" s="87"/>
      <c r="BH43" s="87"/>
      <c r="BI43" s="87"/>
      <c r="BJ43" s="87"/>
      <c r="BK43" s="87"/>
      <c r="BL43" s="87"/>
      <c r="BM43" s="87"/>
      <c r="BN43" s="87"/>
      <c r="BO43" s="87"/>
      <c r="BP43" s="87"/>
      <c r="BQ43" s="87"/>
      <c r="BR43" s="87"/>
      <c r="BS43" s="87"/>
      <c r="BT43" s="87"/>
      <c r="BU43" s="87"/>
      <c r="BV43" s="87"/>
      <c r="BW43" s="87"/>
    </row>
    <row r="44" spans="1:75" ht="18.75" hidden="1">
      <c r="A44" s="7" t="s">
        <v>92</v>
      </c>
      <c r="B44" s="89">
        <v>475</v>
      </c>
      <c r="C44" s="51">
        <v>1397.6</v>
      </c>
      <c r="D44" s="51">
        <v>309.39999999999998</v>
      </c>
      <c r="E44" s="63">
        <v>1057.7</v>
      </c>
      <c r="F44" s="63">
        <f>908.5+116.4</f>
        <v>1024.9000000000001</v>
      </c>
      <c r="G44" s="63">
        <v>218.6</v>
      </c>
      <c r="H44" s="64"/>
      <c r="I44" s="64"/>
      <c r="J44" s="108">
        <v>274</v>
      </c>
      <c r="K44" s="6">
        <f>2179.6+168.8</f>
        <v>2348.4</v>
      </c>
      <c r="L44" s="123">
        <f t="shared" si="2"/>
        <v>6630.6</v>
      </c>
      <c r="M44" s="42">
        <v>63.8</v>
      </c>
      <c r="N44" s="138">
        <f t="shared" si="3"/>
        <v>2301.2000000000003</v>
      </c>
      <c r="O44" s="125">
        <v>153.5</v>
      </c>
      <c r="P44" s="109">
        <f t="shared" si="4"/>
        <v>2454.7000000000003</v>
      </c>
      <c r="Q44" s="39">
        <f t="shared" si="0"/>
        <v>13.959</v>
      </c>
      <c r="R44" s="39">
        <f t="shared" si="1"/>
        <v>5.1677894736842109</v>
      </c>
      <c r="S44" s="128">
        <f t="shared" si="5"/>
        <v>0.67811513237794507</v>
      </c>
      <c r="T44" s="154">
        <f t="shared" si="6"/>
        <v>6694.4000000000005</v>
      </c>
      <c r="U44" s="85"/>
      <c r="W44" s="77"/>
    </row>
    <row r="45" spans="1:75" ht="18.75" hidden="1">
      <c r="A45" s="7" t="s">
        <v>93</v>
      </c>
      <c r="B45" s="89">
        <v>216</v>
      </c>
      <c r="C45" s="51">
        <v>811.4</v>
      </c>
      <c r="D45" s="51">
        <v>179.7</v>
      </c>
      <c r="E45" s="63">
        <v>261.89999999999998</v>
      </c>
      <c r="F45" s="63">
        <f>643.8+83.6</f>
        <v>727.4</v>
      </c>
      <c r="G45" s="63">
        <v>90.4</v>
      </c>
      <c r="H45" s="64"/>
      <c r="I45" s="64"/>
      <c r="J45" s="108">
        <v>154</v>
      </c>
      <c r="K45" s="6">
        <f>1005.2+77.9</f>
        <v>1083.1000000000001</v>
      </c>
      <c r="L45" s="123">
        <f t="shared" si="2"/>
        <v>3307.9</v>
      </c>
      <c r="M45" s="42">
        <v>40</v>
      </c>
      <c r="N45" s="138">
        <f t="shared" si="3"/>
        <v>1079.7</v>
      </c>
      <c r="O45" s="125">
        <v>114.4</v>
      </c>
      <c r="P45" s="109">
        <f t="shared" si="4"/>
        <v>1194.1000000000001</v>
      </c>
      <c r="Q45" s="39">
        <f t="shared" si="0"/>
        <v>15.314</v>
      </c>
      <c r="R45" s="39">
        <f t="shared" si="1"/>
        <v>5.528240740740741</v>
      </c>
      <c r="S45" s="128">
        <f t="shared" si="5"/>
        <v>0.74393976196259415</v>
      </c>
      <c r="T45" s="92">
        <f t="shared" si="6"/>
        <v>3347.9</v>
      </c>
      <c r="U45" s="85"/>
      <c r="W45" s="77"/>
    </row>
    <row r="46" spans="1:75" s="107" customFormat="1" ht="18.75" hidden="1">
      <c r="A46" s="120">
        <v>235</v>
      </c>
      <c r="B46" s="106">
        <v>171</v>
      </c>
      <c r="C46" s="52">
        <v>834.8</v>
      </c>
      <c r="D46" s="52">
        <v>184.8</v>
      </c>
      <c r="E46" s="65">
        <v>390.5</v>
      </c>
      <c r="F46" s="65">
        <v>587.79999999999995</v>
      </c>
      <c r="G46" s="65">
        <v>69.599999999999994</v>
      </c>
      <c r="H46" s="66"/>
      <c r="I46" s="66"/>
      <c r="J46" s="96">
        <v>154</v>
      </c>
      <c r="K46" s="97">
        <f>816.3+63.2</f>
        <v>879.5</v>
      </c>
      <c r="L46" s="123">
        <f t="shared" si="2"/>
        <v>3101</v>
      </c>
      <c r="M46" s="42">
        <v>27.9</v>
      </c>
      <c r="N46" s="138">
        <f t="shared" si="3"/>
        <v>1047.8999999999999</v>
      </c>
      <c r="O46" s="125">
        <v>106</v>
      </c>
      <c r="P46" s="109">
        <f t="shared" si="4"/>
        <v>1153.8999999999999</v>
      </c>
      <c r="Q46" s="39">
        <f t="shared" si="0"/>
        <v>18.135000000000002</v>
      </c>
      <c r="R46" s="39">
        <f t="shared" si="1"/>
        <v>6.7479532163742686</v>
      </c>
      <c r="S46" s="128">
        <f t="shared" si="5"/>
        <v>0.88098129706096673</v>
      </c>
      <c r="T46" s="92">
        <f t="shared" si="6"/>
        <v>3128.9</v>
      </c>
      <c r="U46" s="85"/>
      <c r="V46" s="80"/>
      <c r="W46" s="77"/>
      <c r="X46" s="80"/>
      <c r="Y46" s="80"/>
      <c r="Z46" s="87"/>
      <c r="AA46" s="87"/>
      <c r="AB46" s="87"/>
      <c r="AC46" s="87"/>
      <c r="AD46" s="87"/>
      <c r="AE46" s="87"/>
      <c r="AF46" s="87"/>
      <c r="AG46" s="87"/>
      <c r="AH46" s="87"/>
      <c r="AI46" s="87"/>
      <c r="AJ46" s="87"/>
      <c r="AK46" s="87"/>
      <c r="AL46" s="87"/>
      <c r="AM46" s="87"/>
      <c r="AN46" s="87"/>
      <c r="AO46" s="87"/>
      <c r="AP46" s="87"/>
      <c r="AQ46" s="87"/>
      <c r="AR46" s="87"/>
      <c r="AS46" s="87"/>
      <c r="AT46" s="87"/>
      <c r="AU46" s="87"/>
      <c r="AV46" s="87"/>
      <c r="AW46" s="87"/>
      <c r="AX46" s="87"/>
      <c r="AY46" s="87"/>
      <c r="AZ46" s="87"/>
      <c r="BA46" s="87"/>
      <c r="BB46" s="87"/>
      <c r="BC46" s="87"/>
      <c r="BD46" s="87"/>
      <c r="BE46" s="87"/>
      <c r="BF46" s="87"/>
      <c r="BG46" s="87"/>
      <c r="BH46" s="87"/>
      <c r="BI46" s="87"/>
      <c r="BJ46" s="87"/>
      <c r="BK46" s="87"/>
      <c r="BL46" s="87"/>
      <c r="BM46" s="87"/>
      <c r="BN46" s="87"/>
      <c r="BO46" s="87"/>
      <c r="BP46" s="87"/>
      <c r="BQ46" s="87"/>
      <c r="BR46" s="87"/>
      <c r="BS46" s="87"/>
      <c r="BT46" s="87"/>
      <c r="BU46" s="87"/>
      <c r="BV46" s="87"/>
      <c r="BW46" s="87"/>
    </row>
    <row r="47" spans="1:75" ht="18.75" hidden="1">
      <c r="A47" s="7" t="s">
        <v>94</v>
      </c>
      <c r="B47" s="89">
        <v>445</v>
      </c>
      <c r="C47" s="51">
        <v>1327.3</v>
      </c>
      <c r="D47" s="51">
        <v>293.89999999999998</v>
      </c>
      <c r="E47" s="63">
        <v>593.5</v>
      </c>
      <c r="F47" s="63">
        <v>1388.2</v>
      </c>
      <c r="G47" s="63">
        <v>185.4</v>
      </c>
      <c r="H47" s="64"/>
      <c r="I47" s="64"/>
      <c r="J47" s="108">
        <v>274</v>
      </c>
      <c r="K47" s="6">
        <f>1837.9+142.3</f>
        <v>1980.2</v>
      </c>
      <c r="L47" s="123">
        <f t="shared" si="2"/>
        <v>6042.5</v>
      </c>
      <c r="M47" s="42">
        <v>60.5</v>
      </c>
      <c r="N47" s="138">
        <f t="shared" si="3"/>
        <v>2167.1</v>
      </c>
      <c r="O47" s="125">
        <v>143</v>
      </c>
      <c r="P47" s="109">
        <f t="shared" si="4"/>
        <v>2310.1</v>
      </c>
      <c r="Q47" s="39">
        <f t="shared" si="0"/>
        <v>13.579000000000001</v>
      </c>
      <c r="R47" s="39">
        <f t="shared" si="1"/>
        <v>5.1912359550561797</v>
      </c>
      <c r="S47" s="128">
        <f t="shared" si="5"/>
        <v>0.6596550886567889</v>
      </c>
      <c r="T47" s="154">
        <f t="shared" si="6"/>
        <v>6103</v>
      </c>
      <c r="U47" s="85"/>
      <c r="W47" s="77"/>
    </row>
    <row r="48" spans="1:75" ht="18.75" hidden="1">
      <c r="A48" s="7" t="s">
        <v>95</v>
      </c>
      <c r="B48" s="89">
        <v>422</v>
      </c>
      <c r="C48" s="51">
        <v>1092.8</v>
      </c>
      <c r="D48" s="51">
        <v>242</v>
      </c>
      <c r="E48" s="63">
        <v>556.70000000000005</v>
      </c>
      <c r="F48" s="63">
        <v>1817.9</v>
      </c>
      <c r="G48" s="63">
        <v>121.9</v>
      </c>
      <c r="H48" s="64"/>
      <c r="I48" s="64"/>
      <c r="J48" s="108">
        <v>187</v>
      </c>
      <c r="K48" s="6">
        <f>1881.6+145.7</f>
        <v>2027.3</v>
      </c>
      <c r="L48" s="123">
        <f t="shared" si="2"/>
        <v>6045.6</v>
      </c>
      <c r="M48" s="42">
        <v>58.1</v>
      </c>
      <c r="N48" s="138">
        <f t="shared" si="3"/>
        <v>2496.5000000000005</v>
      </c>
      <c r="O48" s="125">
        <v>142</v>
      </c>
      <c r="P48" s="109">
        <f t="shared" si="4"/>
        <v>2638.5000000000005</v>
      </c>
      <c r="Q48" s="39">
        <f t="shared" si="0"/>
        <v>14.326000000000001</v>
      </c>
      <c r="R48" s="39">
        <f t="shared" si="1"/>
        <v>6.2523696682464465</v>
      </c>
      <c r="S48" s="128">
        <f t="shared" si="5"/>
        <v>0.69594364828758803</v>
      </c>
      <c r="T48" s="92">
        <f t="shared" si="6"/>
        <v>6103.7000000000007</v>
      </c>
      <c r="U48" s="85"/>
      <c r="W48" s="77"/>
    </row>
    <row r="49" spans="1:75" ht="18.75" hidden="1">
      <c r="A49" s="7" t="s">
        <v>96</v>
      </c>
      <c r="B49" s="89">
        <v>161</v>
      </c>
      <c r="C49" s="51">
        <v>741</v>
      </c>
      <c r="D49" s="51">
        <v>164.1</v>
      </c>
      <c r="E49" s="63">
        <v>666.1</v>
      </c>
      <c r="F49" s="63">
        <v>407.6</v>
      </c>
      <c r="G49" s="63">
        <v>114.6</v>
      </c>
      <c r="H49" s="64"/>
      <c r="I49" s="64"/>
      <c r="J49" s="108">
        <v>154</v>
      </c>
      <c r="K49" s="6">
        <f>843.5+65.4</f>
        <v>908.9</v>
      </c>
      <c r="L49" s="123">
        <f t="shared" si="2"/>
        <v>3156.3</v>
      </c>
      <c r="M49" s="42">
        <v>22.2</v>
      </c>
      <c r="N49" s="138">
        <f t="shared" si="3"/>
        <v>1188.3</v>
      </c>
      <c r="O49" s="125">
        <v>103.8</v>
      </c>
      <c r="P49" s="109">
        <f t="shared" si="4"/>
        <v>1292.0999999999999</v>
      </c>
      <c r="Q49" s="39">
        <f t="shared" si="0"/>
        <v>19.603999999999999</v>
      </c>
      <c r="R49" s="39">
        <f t="shared" si="1"/>
        <v>8.0254658385093158</v>
      </c>
      <c r="S49" s="128">
        <f t="shared" si="5"/>
        <v>0.95234393976196252</v>
      </c>
      <c r="T49" s="92">
        <f t="shared" si="6"/>
        <v>3178.5</v>
      </c>
      <c r="U49" s="85"/>
      <c r="W49" s="77"/>
    </row>
    <row r="50" spans="1:75" s="107" customFormat="1" ht="18.75" hidden="1">
      <c r="A50" s="120">
        <v>40</v>
      </c>
      <c r="B50" s="106">
        <v>51</v>
      </c>
      <c r="C50" s="52">
        <v>655</v>
      </c>
      <c r="D50" s="52">
        <v>145</v>
      </c>
      <c r="E50" s="65">
        <v>149</v>
      </c>
      <c r="F50" s="65">
        <v>246.7</v>
      </c>
      <c r="G50" s="65">
        <v>36.700000000000003</v>
      </c>
      <c r="H50" s="66"/>
      <c r="I50" s="66"/>
      <c r="J50" s="98">
        <v>130</v>
      </c>
      <c r="K50" s="44">
        <f>1068.9+82.8</f>
        <v>1151.7</v>
      </c>
      <c r="L50" s="123">
        <f t="shared" si="2"/>
        <v>2514.1</v>
      </c>
      <c r="M50" s="42">
        <v>20.2</v>
      </c>
      <c r="N50" s="138">
        <f t="shared" si="3"/>
        <v>432.4</v>
      </c>
      <c r="O50" s="125">
        <v>100.5</v>
      </c>
      <c r="P50" s="109">
        <f t="shared" si="4"/>
        <v>532.9</v>
      </c>
      <c r="Q50" s="39">
        <f t="shared" si="0"/>
        <v>49.295999999999999</v>
      </c>
      <c r="R50" s="39">
        <f t="shared" si="1"/>
        <v>10.449019607843137</v>
      </c>
      <c r="S50" s="156">
        <f t="shared" si="5"/>
        <v>2.3947534612581975</v>
      </c>
      <c r="T50" s="92">
        <f t="shared" si="6"/>
        <v>2534.2999999999997</v>
      </c>
      <c r="U50" s="85"/>
      <c r="V50" s="80"/>
      <c r="W50" s="77"/>
      <c r="X50" s="80"/>
      <c r="Y50" s="80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</row>
    <row r="51" spans="1:75" ht="18.75" hidden="1">
      <c r="A51" s="7" t="s">
        <v>97</v>
      </c>
      <c r="B51" s="89">
        <v>164</v>
      </c>
      <c r="C51" s="51">
        <v>866.1</v>
      </c>
      <c r="D51" s="51">
        <v>191.8</v>
      </c>
      <c r="E51" s="63">
        <v>884.2</v>
      </c>
      <c r="F51" s="63">
        <v>520.29999999999995</v>
      </c>
      <c r="G51" s="63">
        <v>100.5</v>
      </c>
      <c r="H51" s="64"/>
      <c r="I51" s="64"/>
      <c r="J51" s="109">
        <v>154</v>
      </c>
      <c r="K51" s="42">
        <f>743.5+57.5</f>
        <v>801</v>
      </c>
      <c r="L51" s="123">
        <f t="shared" si="2"/>
        <v>3517.9</v>
      </c>
      <c r="M51" s="42">
        <v>17.8</v>
      </c>
      <c r="N51" s="138">
        <f t="shared" si="3"/>
        <v>1505</v>
      </c>
      <c r="O51" s="125">
        <v>114.4</v>
      </c>
      <c r="P51" s="109">
        <f t="shared" si="4"/>
        <v>1619.4</v>
      </c>
      <c r="Q51" s="39">
        <f t="shared" si="0"/>
        <v>21.451000000000001</v>
      </c>
      <c r="R51" s="39">
        <f t="shared" si="1"/>
        <v>9.8743902439024396</v>
      </c>
      <c r="S51" s="157">
        <f t="shared" si="5"/>
        <v>1.0420694680592664</v>
      </c>
      <c r="T51" s="92">
        <f t="shared" si="6"/>
        <v>3535.7000000000003</v>
      </c>
      <c r="U51" s="85"/>
      <c r="W51" s="77"/>
    </row>
    <row r="52" spans="1:75" s="107" customFormat="1" ht="18.75" hidden="1">
      <c r="A52" s="120">
        <v>55</v>
      </c>
      <c r="B52" s="106">
        <v>162</v>
      </c>
      <c r="C52" s="52">
        <v>866.1</v>
      </c>
      <c r="D52" s="52">
        <v>191.8</v>
      </c>
      <c r="E52" s="65">
        <v>271</v>
      </c>
      <c r="F52" s="65">
        <v>601.9</v>
      </c>
      <c r="G52" s="65">
        <v>66.2</v>
      </c>
      <c r="H52" s="66"/>
      <c r="I52" s="66"/>
      <c r="J52" s="98">
        <v>154</v>
      </c>
      <c r="K52" s="44">
        <f>2536.1+196.4</f>
        <v>2732.5</v>
      </c>
      <c r="L52" s="123">
        <f t="shared" si="2"/>
        <v>4883.5</v>
      </c>
      <c r="M52" s="42">
        <v>31.7</v>
      </c>
      <c r="N52" s="138">
        <f t="shared" si="3"/>
        <v>939.1</v>
      </c>
      <c r="O52" s="125">
        <v>121.5</v>
      </c>
      <c r="P52" s="109">
        <f t="shared" si="4"/>
        <v>1060.5999999999999</v>
      </c>
      <c r="Q52" s="39">
        <f t="shared" si="0"/>
        <v>30.145</v>
      </c>
      <c r="R52" s="39">
        <f t="shared" si="1"/>
        <v>6.5469135802469127</v>
      </c>
      <c r="S52" s="157">
        <f t="shared" si="5"/>
        <v>1.4644158367743503</v>
      </c>
      <c r="T52" s="92">
        <f t="shared" si="6"/>
        <v>4915.2</v>
      </c>
      <c r="U52" s="85"/>
      <c r="V52" s="80"/>
      <c r="W52" s="77"/>
      <c r="X52" s="80"/>
      <c r="Y52" s="80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  <c r="BW52" s="87"/>
    </row>
    <row r="53" spans="1:75" ht="18.75" hidden="1">
      <c r="A53" s="7" t="s">
        <v>98</v>
      </c>
      <c r="B53" s="89">
        <v>187</v>
      </c>
      <c r="C53" s="51">
        <v>1286.5999999999999</v>
      </c>
      <c r="D53" s="51">
        <v>284.89999999999998</v>
      </c>
      <c r="E53" s="63">
        <v>319.60000000000002</v>
      </c>
      <c r="F53" s="63">
        <v>516.1</v>
      </c>
      <c r="G53" s="63">
        <v>51.4</v>
      </c>
      <c r="H53" s="64"/>
      <c r="I53" s="64"/>
      <c r="J53" s="109">
        <v>164</v>
      </c>
      <c r="K53" s="42">
        <f>789+61.1</f>
        <v>850.1</v>
      </c>
      <c r="L53" s="123">
        <f t="shared" si="2"/>
        <v>3472.7</v>
      </c>
      <c r="M53" s="42">
        <v>52.8</v>
      </c>
      <c r="N53" s="138">
        <f t="shared" si="3"/>
        <v>887.1</v>
      </c>
      <c r="O53" s="125">
        <v>151.80000000000001</v>
      </c>
      <c r="P53" s="109">
        <f t="shared" si="4"/>
        <v>1038.9000000000001</v>
      </c>
      <c r="Q53" s="39">
        <f t="shared" si="0"/>
        <v>18.571000000000002</v>
      </c>
      <c r="R53" s="39">
        <f t="shared" si="1"/>
        <v>5.5556149732620321</v>
      </c>
      <c r="S53" s="128">
        <f t="shared" si="5"/>
        <v>0.90216176827787231</v>
      </c>
      <c r="T53" s="92">
        <f t="shared" si="6"/>
        <v>3525.5</v>
      </c>
      <c r="U53" s="85"/>
      <c r="W53" s="77"/>
    </row>
    <row r="54" spans="1:75" ht="18.75" hidden="1">
      <c r="A54" s="7" t="s">
        <v>99</v>
      </c>
      <c r="B54" s="89">
        <v>178</v>
      </c>
      <c r="C54" s="51">
        <v>928.6</v>
      </c>
      <c r="D54" s="51">
        <v>205.6</v>
      </c>
      <c r="E54" s="63">
        <v>340.6</v>
      </c>
      <c r="F54" s="63">
        <v>524.9</v>
      </c>
      <c r="G54" s="63">
        <v>77.5</v>
      </c>
      <c r="H54" s="64"/>
      <c r="I54" s="64"/>
      <c r="J54" s="109">
        <v>154</v>
      </c>
      <c r="K54" s="42">
        <f>801.7+62.1</f>
        <v>863.80000000000007</v>
      </c>
      <c r="L54" s="123">
        <f t="shared" si="2"/>
        <v>3095</v>
      </c>
      <c r="M54" s="42">
        <v>26.8</v>
      </c>
      <c r="N54" s="138">
        <f t="shared" si="3"/>
        <v>943</v>
      </c>
      <c r="O54" s="125">
        <v>126.5</v>
      </c>
      <c r="P54" s="109">
        <f t="shared" si="4"/>
        <v>1069.5</v>
      </c>
      <c r="Q54" s="39">
        <f t="shared" si="0"/>
        <v>17.388000000000002</v>
      </c>
      <c r="R54" s="39">
        <f t="shared" si="1"/>
        <v>6.0084269662921352</v>
      </c>
      <c r="S54" s="128">
        <f t="shared" si="5"/>
        <v>0.8446927374301676</v>
      </c>
      <c r="T54" s="92">
        <f t="shared" si="6"/>
        <v>3121.8</v>
      </c>
      <c r="U54" s="85"/>
      <c r="W54" s="77"/>
    </row>
    <row r="55" spans="1:75" ht="18.75" hidden="1">
      <c r="A55" s="7" t="s">
        <v>100</v>
      </c>
      <c r="B55" s="89">
        <v>265</v>
      </c>
      <c r="C55" s="51">
        <v>1217.9000000000001</v>
      </c>
      <c r="D55" s="51">
        <v>269.7</v>
      </c>
      <c r="E55" s="63">
        <v>497.7</v>
      </c>
      <c r="F55" s="63">
        <v>1011.5</v>
      </c>
      <c r="G55" s="63">
        <v>129.5</v>
      </c>
      <c r="H55" s="64"/>
      <c r="I55" s="64"/>
      <c r="J55" s="109">
        <v>168</v>
      </c>
      <c r="K55" s="42">
        <f>1167.1+90.4</f>
        <v>1257.5</v>
      </c>
      <c r="L55" s="123">
        <f t="shared" si="2"/>
        <v>4551.8</v>
      </c>
      <c r="M55" s="42">
        <v>35.6</v>
      </c>
      <c r="N55" s="138">
        <f t="shared" si="3"/>
        <v>1638.7</v>
      </c>
      <c r="O55" s="125">
        <v>132.5</v>
      </c>
      <c r="P55" s="109">
        <f t="shared" si="4"/>
        <v>1771.2</v>
      </c>
      <c r="Q55" s="39">
        <f t="shared" si="0"/>
        <v>17.177</v>
      </c>
      <c r="R55" s="39">
        <f t="shared" si="1"/>
        <v>6.6837735849056603</v>
      </c>
      <c r="S55" s="128">
        <f t="shared" si="5"/>
        <v>0.83444255525868349</v>
      </c>
      <c r="T55" s="92">
        <f t="shared" si="6"/>
        <v>4587.4000000000005</v>
      </c>
      <c r="U55" s="85"/>
      <c r="W55" s="77"/>
    </row>
    <row r="56" spans="1:75" s="107" customFormat="1" ht="18.75" hidden="1">
      <c r="A56" s="120">
        <v>115</v>
      </c>
      <c r="B56" s="106">
        <v>58</v>
      </c>
      <c r="C56" s="52">
        <v>655</v>
      </c>
      <c r="D56" s="52">
        <v>145</v>
      </c>
      <c r="E56" s="65">
        <v>235.8</v>
      </c>
      <c r="F56" s="65">
        <v>390.3</v>
      </c>
      <c r="G56" s="65">
        <v>30.5</v>
      </c>
      <c r="H56" s="66"/>
      <c r="I56" s="66"/>
      <c r="J56" s="98">
        <v>130</v>
      </c>
      <c r="K56" s="44">
        <f>450.9+35</f>
        <v>485.9</v>
      </c>
      <c r="L56" s="123">
        <f t="shared" si="2"/>
        <v>2072.5</v>
      </c>
      <c r="M56" s="42">
        <v>26.7</v>
      </c>
      <c r="N56" s="138">
        <f t="shared" si="3"/>
        <v>656.6</v>
      </c>
      <c r="O56" s="125">
        <v>82.5</v>
      </c>
      <c r="P56" s="109">
        <f t="shared" si="4"/>
        <v>739.1</v>
      </c>
      <c r="Q56" s="39">
        <f t="shared" si="0"/>
        <v>35.732999999999997</v>
      </c>
      <c r="R56" s="39">
        <f t="shared" si="1"/>
        <v>12.743103448275862</v>
      </c>
      <c r="S56" s="157">
        <f t="shared" si="5"/>
        <v>1.735875637600194</v>
      </c>
      <c r="T56" s="92">
        <f t="shared" si="6"/>
        <v>2099.1999999999998</v>
      </c>
      <c r="U56" s="85"/>
      <c r="V56" s="80"/>
      <c r="W56" s="77"/>
      <c r="X56" s="80"/>
      <c r="Y56" s="80"/>
      <c r="Z56" s="87"/>
      <c r="AA56" s="87"/>
      <c r="AB56" s="87"/>
      <c r="AC56" s="87"/>
      <c r="AD56" s="87"/>
      <c r="AE56" s="87"/>
      <c r="AF56" s="87"/>
      <c r="AG56" s="87"/>
      <c r="AH56" s="87"/>
      <c r="AI56" s="87"/>
      <c r="AJ56" s="87"/>
      <c r="AK56" s="87"/>
      <c r="AL56" s="87"/>
      <c r="AM56" s="87"/>
      <c r="AN56" s="87"/>
      <c r="AO56" s="87"/>
      <c r="AP56" s="87"/>
      <c r="AQ56" s="87"/>
      <c r="AR56" s="87"/>
      <c r="AS56" s="87"/>
      <c r="AT56" s="87"/>
      <c r="AU56" s="87"/>
      <c r="AV56" s="87"/>
      <c r="AW56" s="87"/>
      <c r="AX56" s="87"/>
      <c r="AY56" s="87"/>
      <c r="AZ56" s="87"/>
      <c r="BA56" s="87"/>
      <c r="BB56" s="87"/>
      <c r="BC56" s="87"/>
      <c r="BD56" s="87"/>
      <c r="BE56" s="87"/>
      <c r="BF56" s="87"/>
      <c r="BG56" s="87"/>
      <c r="BH56" s="87"/>
      <c r="BI56" s="87"/>
      <c r="BJ56" s="87"/>
      <c r="BK56" s="87"/>
      <c r="BL56" s="87"/>
      <c r="BM56" s="87"/>
      <c r="BN56" s="87"/>
      <c r="BO56" s="87"/>
      <c r="BP56" s="87"/>
      <c r="BQ56" s="87"/>
      <c r="BR56" s="87"/>
      <c r="BS56" s="87"/>
      <c r="BT56" s="87"/>
      <c r="BU56" s="87"/>
      <c r="BV56" s="87"/>
      <c r="BW56" s="87"/>
    </row>
    <row r="57" spans="1:75" ht="18.75" hidden="1">
      <c r="A57" s="7" t="s">
        <v>101</v>
      </c>
      <c r="B57" s="89">
        <v>190</v>
      </c>
      <c r="C57" s="51">
        <v>999</v>
      </c>
      <c r="D57" s="51">
        <v>221.2</v>
      </c>
      <c r="E57" s="63">
        <v>379.9</v>
      </c>
      <c r="F57" s="63">
        <v>416.3</v>
      </c>
      <c r="G57" s="63">
        <v>58</v>
      </c>
      <c r="H57" s="64"/>
      <c r="I57" s="64"/>
      <c r="J57" s="109">
        <v>154</v>
      </c>
      <c r="K57" s="42">
        <f>919.8+71.2</f>
        <v>991</v>
      </c>
      <c r="L57" s="123">
        <f t="shared" si="2"/>
        <v>3219.4</v>
      </c>
      <c r="M57" s="42">
        <v>29.3</v>
      </c>
      <c r="N57" s="138">
        <f t="shared" si="3"/>
        <v>854.2</v>
      </c>
      <c r="O57" s="125">
        <v>123.5</v>
      </c>
      <c r="P57" s="109">
        <f t="shared" si="4"/>
        <v>977.7</v>
      </c>
      <c r="Q57" s="39">
        <f t="shared" si="0"/>
        <v>16.943999999999999</v>
      </c>
      <c r="R57" s="39">
        <f t="shared" si="1"/>
        <v>5.1457894736842107</v>
      </c>
      <c r="S57" s="128">
        <f t="shared" si="5"/>
        <v>0.82312363371386921</v>
      </c>
      <c r="T57" s="92">
        <f t="shared" si="6"/>
        <v>3248.7000000000003</v>
      </c>
      <c r="U57" s="85"/>
      <c r="W57" s="77"/>
    </row>
    <row r="58" spans="1:75" ht="18.75" hidden="1">
      <c r="A58" s="7" t="s">
        <v>102</v>
      </c>
      <c r="B58" s="89">
        <v>186</v>
      </c>
      <c r="C58" s="51">
        <v>873.9</v>
      </c>
      <c r="D58" s="51">
        <v>193.5</v>
      </c>
      <c r="E58" s="63">
        <v>163.69999999999999</v>
      </c>
      <c r="F58" s="63">
        <v>461.9</v>
      </c>
      <c r="G58" s="63">
        <v>60.3</v>
      </c>
      <c r="H58" s="64"/>
      <c r="I58" s="64"/>
      <c r="J58" s="109">
        <v>154</v>
      </c>
      <c r="K58" s="42">
        <f>781.7+60.6</f>
        <v>842.30000000000007</v>
      </c>
      <c r="L58" s="123">
        <f t="shared" si="2"/>
        <v>2749.6</v>
      </c>
      <c r="M58" s="42">
        <v>32</v>
      </c>
      <c r="N58" s="138">
        <f t="shared" si="3"/>
        <v>685.89999999999986</v>
      </c>
      <c r="O58" s="125">
        <v>120</v>
      </c>
      <c r="P58" s="109">
        <f t="shared" si="4"/>
        <v>805.89999999999986</v>
      </c>
      <c r="Q58" s="39">
        <f t="shared" si="0"/>
        <v>14.782999999999999</v>
      </c>
      <c r="R58" s="39">
        <f t="shared" si="1"/>
        <v>4.3327956989247305</v>
      </c>
      <c r="S58" s="128">
        <f t="shared" si="5"/>
        <v>0.71814427981539952</v>
      </c>
      <c r="T58" s="92">
        <f t="shared" si="6"/>
        <v>2781.6</v>
      </c>
      <c r="U58" s="85"/>
      <c r="W58" s="77"/>
    </row>
    <row r="59" spans="1:75" ht="18.75" hidden="1">
      <c r="A59" s="7" t="s">
        <v>103</v>
      </c>
      <c r="B59" s="89">
        <v>127</v>
      </c>
      <c r="C59" s="51">
        <v>827</v>
      </c>
      <c r="D59" s="51">
        <v>183.1</v>
      </c>
      <c r="E59" s="63">
        <v>189.9</v>
      </c>
      <c r="F59" s="63">
        <v>603.6</v>
      </c>
      <c r="G59" s="63">
        <v>52.3</v>
      </c>
      <c r="H59" s="64"/>
      <c r="I59" s="64"/>
      <c r="J59" s="109">
        <v>150</v>
      </c>
      <c r="K59" s="42">
        <f>676.2+52.4</f>
        <v>728.6</v>
      </c>
      <c r="L59" s="123">
        <f t="shared" si="2"/>
        <v>2734.5</v>
      </c>
      <c r="M59" s="42">
        <v>35.299999999999997</v>
      </c>
      <c r="N59" s="138">
        <f t="shared" si="3"/>
        <v>845.8</v>
      </c>
      <c r="O59" s="125">
        <v>94.8</v>
      </c>
      <c r="P59" s="109">
        <f t="shared" si="4"/>
        <v>940.59999999999991</v>
      </c>
      <c r="Q59" s="39">
        <f t="shared" si="0"/>
        <v>21.530999999999999</v>
      </c>
      <c r="R59" s="39">
        <f t="shared" si="1"/>
        <v>7.4062992125984248</v>
      </c>
      <c r="S59" s="157">
        <f t="shared" si="5"/>
        <v>1.045955793053194</v>
      </c>
      <c r="T59" s="92">
        <f t="shared" si="6"/>
        <v>2769.8</v>
      </c>
      <c r="U59" s="85"/>
      <c r="W59" s="77"/>
    </row>
    <row r="60" spans="1:75" ht="18.75" hidden="1">
      <c r="A60" s="7" t="s">
        <v>104</v>
      </c>
      <c r="B60" s="89">
        <v>222</v>
      </c>
      <c r="C60" s="51">
        <v>1006.8</v>
      </c>
      <c r="D60" s="51">
        <v>222.9</v>
      </c>
      <c r="E60" s="63">
        <f>284.9</f>
        <v>284.89999999999998</v>
      </c>
      <c r="F60" s="63">
        <f>604.9+78.2</f>
        <v>683.1</v>
      </c>
      <c r="G60" s="63">
        <v>57.8</v>
      </c>
      <c r="H60" s="64"/>
      <c r="I60" s="64"/>
      <c r="J60" s="109">
        <v>154</v>
      </c>
      <c r="K60" s="42">
        <f>1030.8+79.8</f>
        <v>1110.5999999999999</v>
      </c>
      <c r="L60" s="123">
        <f t="shared" si="2"/>
        <v>3520.1</v>
      </c>
      <c r="M60" s="42">
        <v>27.8</v>
      </c>
      <c r="N60" s="138">
        <f t="shared" si="3"/>
        <v>1025.8</v>
      </c>
      <c r="O60" s="125">
        <v>119.4</v>
      </c>
      <c r="P60" s="109">
        <f t="shared" si="4"/>
        <v>1145.2</v>
      </c>
      <c r="Q60" s="39">
        <f t="shared" si="0"/>
        <v>15.856</v>
      </c>
      <c r="R60" s="39">
        <f t="shared" si="1"/>
        <v>5.1585585585585587</v>
      </c>
      <c r="S60" s="128">
        <f t="shared" si="5"/>
        <v>0.77026961379645364</v>
      </c>
      <c r="T60" s="92">
        <f t="shared" si="6"/>
        <v>3547.9</v>
      </c>
      <c r="U60" s="85"/>
      <c r="W60" s="77"/>
    </row>
    <row r="61" spans="1:75" ht="18.75" hidden="1">
      <c r="A61" s="7" t="s">
        <v>105</v>
      </c>
      <c r="B61" s="89">
        <v>118</v>
      </c>
      <c r="C61" s="51">
        <v>741</v>
      </c>
      <c r="D61" s="51">
        <v>164.1</v>
      </c>
      <c r="E61" s="63">
        <v>248.9</v>
      </c>
      <c r="F61" s="63">
        <v>450.3</v>
      </c>
      <c r="G61" s="63">
        <v>40.700000000000003</v>
      </c>
      <c r="H61" s="64"/>
      <c r="I61" s="64"/>
      <c r="J61" s="109">
        <v>130</v>
      </c>
      <c r="K61" s="42">
        <f>561.7+43.5</f>
        <v>605.20000000000005</v>
      </c>
      <c r="L61" s="123">
        <f t="shared" si="2"/>
        <v>2380.1999999999998</v>
      </c>
      <c r="M61" s="42">
        <v>18.600000000000001</v>
      </c>
      <c r="N61" s="138">
        <f t="shared" si="3"/>
        <v>739.90000000000009</v>
      </c>
      <c r="O61" s="125">
        <v>102.9</v>
      </c>
      <c r="P61" s="109">
        <f t="shared" si="4"/>
        <v>842.80000000000007</v>
      </c>
      <c r="Q61" s="39">
        <f t="shared" si="0"/>
        <v>20.170999999999999</v>
      </c>
      <c r="R61" s="39">
        <f t="shared" si="1"/>
        <v>7.1423728813559331</v>
      </c>
      <c r="S61" s="128">
        <f t="shared" si="5"/>
        <v>0.97988826815642449</v>
      </c>
      <c r="T61" s="92">
        <f t="shared" si="6"/>
        <v>2398.7999999999997</v>
      </c>
      <c r="U61" s="85"/>
      <c r="W61" s="77"/>
    </row>
    <row r="62" spans="1:75" ht="18.75" hidden="1">
      <c r="A62" s="7" t="s">
        <v>106</v>
      </c>
      <c r="B62" s="89">
        <v>188</v>
      </c>
      <c r="C62" s="51">
        <v>967.7</v>
      </c>
      <c r="D62" s="51">
        <v>214.3</v>
      </c>
      <c r="E62" s="63">
        <v>314.3</v>
      </c>
      <c r="F62" s="63">
        <v>771.6</v>
      </c>
      <c r="G62" s="63">
        <v>94</v>
      </c>
      <c r="H62" s="64"/>
      <c r="I62" s="64"/>
      <c r="J62" s="109">
        <v>154</v>
      </c>
      <c r="K62" s="42">
        <f>861.7+66.7</f>
        <v>928.40000000000009</v>
      </c>
      <c r="L62" s="123">
        <f t="shared" si="2"/>
        <v>3444.3</v>
      </c>
      <c r="M62" s="42">
        <v>35.6</v>
      </c>
      <c r="N62" s="138">
        <f t="shared" si="3"/>
        <v>1179.9000000000001</v>
      </c>
      <c r="O62" s="125">
        <v>139</v>
      </c>
      <c r="P62" s="109">
        <f t="shared" si="4"/>
        <v>1318.9</v>
      </c>
      <c r="Q62" s="39">
        <f t="shared" si="0"/>
        <v>18.321000000000002</v>
      </c>
      <c r="R62" s="39">
        <f t="shared" si="1"/>
        <v>7.0154255319148939</v>
      </c>
      <c r="S62" s="128">
        <f t="shared" si="5"/>
        <v>0.89001700267184847</v>
      </c>
      <c r="T62" s="92">
        <f t="shared" si="6"/>
        <v>3479.9</v>
      </c>
      <c r="U62" s="85"/>
      <c r="W62" s="77"/>
    </row>
    <row r="63" spans="1:75" ht="18.75" hidden="1">
      <c r="A63" s="7" t="s">
        <v>107</v>
      </c>
      <c r="B63" s="89">
        <v>182</v>
      </c>
      <c r="C63" s="51">
        <v>967.7</v>
      </c>
      <c r="D63" s="51">
        <v>214.3</v>
      </c>
      <c r="E63" s="63">
        <v>334</v>
      </c>
      <c r="F63" s="63">
        <v>503</v>
      </c>
      <c r="G63" s="63">
        <v>99.3</v>
      </c>
      <c r="H63" s="64"/>
      <c r="I63" s="64"/>
      <c r="J63" s="109">
        <v>154</v>
      </c>
      <c r="K63" s="42">
        <f>816.2+63.2</f>
        <v>879.40000000000009</v>
      </c>
      <c r="L63" s="123">
        <f t="shared" si="2"/>
        <v>3151.7</v>
      </c>
      <c r="M63" s="42">
        <v>27.6</v>
      </c>
      <c r="N63" s="138">
        <f t="shared" si="3"/>
        <v>936.3</v>
      </c>
      <c r="O63" s="125">
        <v>129.4</v>
      </c>
      <c r="P63" s="109">
        <f t="shared" si="4"/>
        <v>1065.7</v>
      </c>
      <c r="Q63" s="39">
        <f t="shared" si="0"/>
        <v>17.317</v>
      </c>
      <c r="R63" s="39">
        <f t="shared" si="1"/>
        <v>5.855494505494506</v>
      </c>
      <c r="S63" s="128">
        <f t="shared" si="5"/>
        <v>0.84124362399805686</v>
      </c>
      <c r="T63" s="92">
        <f t="shared" si="6"/>
        <v>3179.2999999999997</v>
      </c>
      <c r="U63" s="85"/>
      <c r="W63" s="77"/>
    </row>
    <row r="64" spans="1:75" s="107" customFormat="1" ht="18.75" hidden="1">
      <c r="A64" s="120">
        <v>159</v>
      </c>
      <c r="B64" s="106">
        <v>70</v>
      </c>
      <c r="C64" s="52">
        <v>795.7</v>
      </c>
      <c r="D64" s="52">
        <v>176.2</v>
      </c>
      <c r="E64" s="65">
        <v>275.10000000000002</v>
      </c>
      <c r="F64" s="65">
        <v>488.1</v>
      </c>
      <c r="G64" s="65">
        <v>34.1</v>
      </c>
      <c r="H64" s="66"/>
      <c r="I64" s="66"/>
      <c r="J64" s="98">
        <v>150</v>
      </c>
      <c r="K64" s="44">
        <f>723.6+56</f>
        <v>779.6</v>
      </c>
      <c r="L64" s="123">
        <f t="shared" si="2"/>
        <v>2698.8</v>
      </c>
      <c r="M64" s="42">
        <v>28.5</v>
      </c>
      <c r="N64" s="138">
        <f t="shared" si="3"/>
        <v>797.30000000000007</v>
      </c>
      <c r="O64" s="125">
        <v>115.5</v>
      </c>
      <c r="P64" s="109">
        <f t="shared" si="4"/>
        <v>912.80000000000007</v>
      </c>
      <c r="Q64" s="39">
        <f t="shared" si="0"/>
        <v>38.554000000000002</v>
      </c>
      <c r="R64" s="39">
        <f t="shared" si="1"/>
        <v>13.040000000000001</v>
      </c>
      <c r="S64" s="157">
        <f t="shared" si="5"/>
        <v>1.8729171726985669</v>
      </c>
      <c r="T64" s="92">
        <f t="shared" si="6"/>
        <v>2727.3</v>
      </c>
      <c r="U64" s="85"/>
      <c r="V64" s="80"/>
      <c r="W64" s="77"/>
      <c r="X64" s="80"/>
      <c r="Y64" s="80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</row>
    <row r="65" spans="1:75" ht="18.75" hidden="1">
      <c r="A65" s="7" t="s">
        <v>108</v>
      </c>
      <c r="B65" s="89">
        <v>195</v>
      </c>
      <c r="C65" s="51">
        <v>952.1</v>
      </c>
      <c r="D65" s="51">
        <v>210.8</v>
      </c>
      <c r="E65" s="63">
        <v>322.89999999999998</v>
      </c>
      <c r="F65" s="63">
        <v>769.8</v>
      </c>
      <c r="G65" s="63">
        <v>91.1</v>
      </c>
      <c r="H65" s="64"/>
      <c r="I65" s="64"/>
      <c r="J65" s="109">
        <v>154</v>
      </c>
      <c r="K65" s="42">
        <f>794.4+61.6</f>
        <v>856</v>
      </c>
      <c r="L65" s="123">
        <f t="shared" si="2"/>
        <v>3356.7</v>
      </c>
      <c r="M65" s="42">
        <v>39.5</v>
      </c>
      <c r="N65" s="138">
        <f t="shared" si="3"/>
        <v>1183.7999999999997</v>
      </c>
      <c r="O65" s="125">
        <v>135.80000000000001</v>
      </c>
      <c r="P65" s="109">
        <f t="shared" si="4"/>
        <v>1319.5999999999997</v>
      </c>
      <c r="Q65" s="39">
        <f t="shared" si="0"/>
        <v>17.213999999999999</v>
      </c>
      <c r="R65" s="39">
        <f t="shared" si="1"/>
        <v>6.7671794871794857</v>
      </c>
      <c r="S65" s="128">
        <f t="shared" si="5"/>
        <v>0.8362399805683749</v>
      </c>
      <c r="T65" s="92">
        <f t="shared" si="6"/>
        <v>3396.2</v>
      </c>
      <c r="U65" s="85"/>
      <c r="W65" s="77"/>
    </row>
    <row r="66" spans="1:75" s="107" customFormat="1" ht="18.75" hidden="1">
      <c r="A66" s="120">
        <v>173</v>
      </c>
      <c r="B66" s="106">
        <v>105</v>
      </c>
      <c r="C66" s="52">
        <v>905.2</v>
      </c>
      <c r="D66" s="52">
        <v>200.4</v>
      </c>
      <c r="E66" s="65">
        <v>248.9</v>
      </c>
      <c r="F66" s="65">
        <v>766.3</v>
      </c>
      <c r="G66" s="65">
        <v>61.6</v>
      </c>
      <c r="H66" s="66"/>
      <c r="I66" s="66"/>
      <c r="J66" s="98">
        <v>154</v>
      </c>
      <c r="K66" s="44">
        <f>699.9+54.2</f>
        <v>754.1</v>
      </c>
      <c r="L66" s="123">
        <f t="shared" si="2"/>
        <v>3090.5</v>
      </c>
      <c r="M66" s="42">
        <v>27.6</v>
      </c>
      <c r="N66" s="138">
        <f t="shared" si="3"/>
        <v>1076.8</v>
      </c>
      <c r="O66" s="125">
        <v>119</v>
      </c>
      <c r="P66" s="109">
        <f t="shared" si="4"/>
        <v>1195.8</v>
      </c>
      <c r="Q66" s="39">
        <f t="shared" si="0"/>
        <v>29.433</v>
      </c>
      <c r="R66" s="39">
        <f t="shared" si="1"/>
        <v>11.388571428571428</v>
      </c>
      <c r="S66" s="157">
        <f t="shared" si="5"/>
        <v>1.4298275443283943</v>
      </c>
      <c r="T66" s="92">
        <f t="shared" si="6"/>
        <v>3118.1</v>
      </c>
      <c r="U66" s="85"/>
      <c r="V66" s="80"/>
      <c r="W66" s="77"/>
      <c r="X66" s="80"/>
      <c r="Y66" s="80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</row>
    <row r="67" spans="1:75" ht="18.75" hidden="1">
      <c r="A67" s="7" t="s">
        <v>109</v>
      </c>
      <c r="B67" s="89">
        <v>166</v>
      </c>
      <c r="C67" s="51">
        <v>873.9</v>
      </c>
      <c r="D67" s="51">
        <v>193.5</v>
      </c>
      <c r="E67" s="63">
        <v>390.9</v>
      </c>
      <c r="F67" s="63">
        <v>614.79999999999995</v>
      </c>
      <c r="G67" s="63">
        <v>71.5</v>
      </c>
      <c r="H67" s="64"/>
      <c r="I67" s="64"/>
      <c r="J67" s="109">
        <v>154</v>
      </c>
      <c r="K67" s="42">
        <f>752.6+58.3</f>
        <v>810.9</v>
      </c>
      <c r="L67" s="123">
        <f t="shared" si="2"/>
        <v>3109.5</v>
      </c>
      <c r="M67" s="42">
        <v>24.2</v>
      </c>
      <c r="N67" s="138">
        <f t="shared" si="3"/>
        <v>1077.1999999999998</v>
      </c>
      <c r="O67" s="125">
        <v>124.9</v>
      </c>
      <c r="P67" s="109">
        <f t="shared" si="4"/>
        <v>1202.0999999999999</v>
      </c>
      <c r="Q67" s="39">
        <f t="shared" si="0"/>
        <v>18.731999999999999</v>
      </c>
      <c r="R67" s="39">
        <f t="shared" si="1"/>
        <v>7.2415662650602401</v>
      </c>
      <c r="S67" s="128">
        <f t="shared" si="5"/>
        <v>0.90998299732815147</v>
      </c>
      <c r="T67" s="92">
        <f t="shared" si="6"/>
        <v>3133.7</v>
      </c>
      <c r="U67" s="85"/>
      <c r="W67" s="77"/>
    </row>
    <row r="68" spans="1:75" s="107" customFormat="1" ht="18.75" hidden="1">
      <c r="A68" s="120">
        <v>201</v>
      </c>
      <c r="B68" s="106">
        <v>181</v>
      </c>
      <c r="C68" s="52">
        <v>936.4</v>
      </c>
      <c r="D68" s="52">
        <v>207.3</v>
      </c>
      <c r="E68" s="65">
        <v>343.8</v>
      </c>
      <c r="F68" s="65">
        <v>753.9</v>
      </c>
      <c r="G68" s="65">
        <v>78.5</v>
      </c>
      <c r="H68" s="66"/>
      <c r="I68" s="66"/>
      <c r="J68" s="98">
        <v>154</v>
      </c>
      <c r="K68" s="44">
        <f>856.3+66.4</f>
        <v>922.69999999999993</v>
      </c>
      <c r="L68" s="123">
        <f t="shared" si="2"/>
        <v>3396.6</v>
      </c>
      <c r="M68" s="42">
        <v>33.4</v>
      </c>
      <c r="N68" s="138">
        <f t="shared" si="3"/>
        <v>1176.2</v>
      </c>
      <c r="O68" s="125">
        <v>121.5</v>
      </c>
      <c r="P68" s="109">
        <f t="shared" si="4"/>
        <v>1297.7</v>
      </c>
      <c r="Q68" s="39">
        <f t="shared" si="0"/>
        <v>18.765999999999998</v>
      </c>
      <c r="R68" s="39">
        <f t="shared" si="1"/>
        <v>7.1696132596685089</v>
      </c>
      <c r="S68" s="128">
        <f t="shared" si="5"/>
        <v>0.91163468545057069</v>
      </c>
      <c r="T68" s="92">
        <f t="shared" si="6"/>
        <v>3430</v>
      </c>
      <c r="U68" s="85"/>
      <c r="V68" s="80"/>
      <c r="W68" s="77"/>
      <c r="X68" s="80"/>
      <c r="Y68" s="80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  <c r="BW68" s="87"/>
    </row>
    <row r="69" spans="1:75" ht="18.75" hidden="1">
      <c r="A69" s="7" t="s">
        <v>110</v>
      </c>
      <c r="B69" s="89">
        <v>194</v>
      </c>
      <c r="C69" s="51">
        <v>913</v>
      </c>
      <c r="D69" s="51">
        <v>202.1</v>
      </c>
      <c r="E69" s="63">
        <v>268.5</v>
      </c>
      <c r="F69" s="63">
        <v>904.5</v>
      </c>
      <c r="G69" s="63">
        <v>86</v>
      </c>
      <c r="H69" s="64"/>
      <c r="I69" s="64"/>
      <c r="J69" s="109">
        <v>154</v>
      </c>
      <c r="K69" s="42">
        <f>843.5+65.3</f>
        <v>908.8</v>
      </c>
      <c r="L69" s="123">
        <f t="shared" si="2"/>
        <v>3436.9</v>
      </c>
      <c r="M69" s="42">
        <v>34</v>
      </c>
      <c r="N69" s="138">
        <f t="shared" si="3"/>
        <v>1259</v>
      </c>
      <c r="O69" s="125">
        <v>134.80000000000001</v>
      </c>
      <c r="P69" s="109">
        <f t="shared" si="4"/>
        <v>1393.8</v>
      </c>
      <c r="Q69" s="39">
        <f t="shared" ref="Q69:Q132" si="7">ROUND(L69/B69,3)</f>
        <v>17.716000000000001</v>
      </c>
      <c r="R69" s="39">
        <f t="shared" ref="R69:R132" si="8">P69/B69</f>
        <v>7.1845360824742261</v>
      </c>
      <c r="S69" s="128">
        <f t="shared" si="5"/>
        <v>0.86062666990527081</v>
      </c>
      <c r="T69" s="92">
        <f t="shared" si="6"/>
        <v>3470.9</v>
      </c>
      <c r="U69" s="85"/>
      <c r="W69" s="77"/>
    </row>
    <row r="70" spans="1:75" ht="18.75" hidden="1">
      <c r="A70" s="7" t="s">
        <v>111</v>
      </c>
      <c r="B70" s="89">
        <v>191</v>
      </c>
      <c r="C70" s="51">
        <v>959.9</v>
      </c>
      <c r="D70" s="51">
        <v>212.5</v>
      </c>
      <c r="E70" s="63">
        <v>406</v>
      </c>
      <c r="F70" s="63">
        <v>908.1</v>
      </c>
      <c r="G70" s="63">
        <v>108.9</v>
      </c>
      <c r="H70" s="64"/>
      <c r="I70" s="64"/>
      <c r="J70" s="109">
        <v>154</v>
      </c>
      <c r="K70" s="42">
        <f>923.5+71.6</f>
        <v>995.1</v>
      </c>
      <c r="L70" s="123">
        <f t="shared" ref="L70:L133" si="9">ROUND(C70+D70+H70+J70+K70+F70+G70+E70,1)</f>
        <v>3744.5</v>
      </c>
      <c r="M70" s="42">
        <v>31.9</v>
      </c>
      <c r="N70" s="138">
        <f t="shared" ref="N70:N133" si="10">E70+F70+G70+H70+I70</f>
        <v>1423</v>
      </c>
      <c r="O70" s="125">
        <v>84.1</v>
      </c>
      <c r="P70" s="109">
        <f t="shared" ref="P70:P133" si="11">N70+O70</f>
        <v>1507.1</v>
      </c>
      <c r="Q70" s="39">
        <f t="shared" si="7"/>
        <v>19.605</v>
      </c>
      <c r="R70" s="39">
        <f t="shared" si="8"/>
        <v>7.8905759162303664</v>
      </c>
      <c r="S70" s="128">
        <f t="shared" ref="S70:S133" si="12">Q70/20.585</f>
        <v>0.95239251882438669</v>
      </c>
      <c r="T70" s="92">
        <f t="shared" ref="T70:T133" si="13">L70+M70</f>
        <v>3776.4</v>
      </c>
      <c r="U70" s="85"/>
      <c r="W70" s="77"/>
    </row>
    <row r="71" spans="1:75" ht="18.75" hidden="1">
      <c r="A71" s="7" t="s">
        <v>112</v>
      </c>
      <c r="B71" s="89">
        <v>235</v>
      </c>
      <c r="C71" s="51">
        <v>1038.0999999999999</v>
      </c>
      <c r="D71" s="51">
        <v>229.8</v>
      </c>
      <c r="E71" s="63">
        <v>543.6</v>
      </c>
      <c r="F71" s="63">
        <v>520.29999999999995</v>
      </c>
      <c r="G71" s="63">
        <v>99.3</v>
      </c>
      <c r="H71" s="64"/>
      <c r="I71" s="64"/>
      <c r="J71" s="109">
        <v>154</v>
      </c>
      <c r="K71" s="42">
        <f>950.7+73.7</f>
        <v>1024.4000000000001</v>
      </c>
      <c r="L71" s="123">
        <f t="shared" si="9"/>
        <v>3609.5</v>
      </c>
      <c r="M71" s="42">
        <v>32</v>
      </c>
      <c r="N71" s="138">
        <f t="shared" si="10"/>
        <v>1163.2</v>
      </c>
      <c r="O71" s="125">
        <v>119.2</v>
      </c>
      <c r="P71" s="109">
        <f t="shared" si="11"/>
        <v>1282.4000000000001</v>
      </c>
      <c r="Q71" s="39">
        <f t="shared" si="7"/>
        <v>15.36</v>
      </c>
      <c r="R71" s="39">
        <f t="shared" si="8"/>
        <v>5.4570212765957447</v>
      </c>
      <c r="S71" s="128">
        <f t="shared" si="12"/>
        <v>0.74617439883410241</v>
      </c>
      <c r="T71" s="92">
        <f t="shared" si="13"/>
        <v>3641.5</v>
      </c>
      <c r="U71" s="85"/>
      <c r="W71" s="77"/>
    </row>
    <row r="72" spans="1:75" ht="18.75" hidden="1">
      <c r="A72" s="7" t="s">
        <v>113</v>
      </c>
      <c r="B72" s="89">
        <v>157</v>
      </c>
      <c r="C72" s="51">
        <v>858.3</v>
      </c>
      <c r="D72" s="51">
        <v>190</v>
      </c>
      <c r="E72" s="63">
        <v>360.2</v>
      </c>
      <c r="F72" s="63">
        <v>437.5</v>
      </c>
      <c r="G72" s="63">
        <v>24.1</v>
      </c>
      <c r="H72" s="64"/>
      <c r="I72" s="64">
        <v>67.599999999999994</v>
      </c>
      <c r="J72" s="109">
        <v>150</v>
      </c>
      <c r="K72" s="42">
        <f>665.4+51.6</f>
        <v>717</v>
      </c>
      <c r="L72" s="123">
        <f>ROUND(C72+D72+H72+J72+K72+F72+G72+E72+I72,1)</f>
        <v>2804.7</v>
      </c>
      <c r="M72" s="42">
        <v>60.4</v>
      </c>
      <c r="N72" s="138">
        <f t="shared" si="10"/>
        <v>889.40000000000009</v>
      </c>
      <c r="O72" s="125">
        <v>90.6</v>
      </c>
      <c r="P72" s="109">
        <f t="shared" si="11"/>
        <v>980.00000000000011</v>
      </c>
      <c r="Q72" s="39">
        <f t="shared" si="7"/>
        <v>17.864000000000001</v>
      </c>
      <c r="R72" s="39">
        <f t="shared" si="8"/>
        <v>6.2420382165605099</v>
      </c>
      <c r="S72" s="128">
        <f t="shared" si="12"/>
        <v>0.86781637114403687</v>
      </c>
      <c r="T72" s="92">
        <f t="shared" si="13"/>
        <v>2865.1</v>
      </c>
      <c r="U72" s="85"/>
      <c r="W72" s="77"/>
    </row>
    <row r="73" spans="1:75" ht="18.75" hidden="1">
      <c r="A73" s="7" t="s">
        <v>114</v>
      </c>
      <c r="B73" s="89">
        <v>123</v>
      </c>
      <c r="C73" s="51">
        <v>772.3</v>
      </c>
      <c r="D73" s="51">
        <v>171</v>
      </c>
      <c r="E73" s="63">
        <v>216.1</v>
      </c>
      <c r="F73" s="63">
        <v>218.7</v>
      </c>
      <c r="G73" s="63">
        <v>33.299999999999997</v>
      </c>
      <c r="H73" s="64"/>
      <c r="I73" s="64"/>
      <c r="J73" s="109">
        <v>130</v>
      </c>
      <c r="K73" s="42">
        <f>472.7+36.6</f>
        <v>509.3</v>
      </c>
      <c r="L73" s="123">
        <f t="shared" si="9"/>
        <v>2050.6999999999998</v>
      </c>
      <c r="M73" s="42">
        <v>17</v>
      </c>
      <c r="N73" s="138">
        <f t="shared" si="10"/>
        <v>468.09999999999997</v>
      </c>
      <c r="O73" s="125">
        <v>80.099999999999994</v>
      </c>
      <c r="P73" s="109">
        <f t="shared" si="11"/>
        <v>548.19999999999993</v>
      </c>
      <c r="Q73" s="39">
        <f t="shared" si="7"/>
        <v>16.672000000000001</v>
      </c>
      <c r="R73" s="39">
        <f t="shared" si="8"/>
        <v>4.4569105691056903</v>
      </c>
      <c r="S73" s="128">
        <f t="shared" si="12"/>
        <v>0.8099101287345154</v>
      </c>
      <c r="T73" s="92">
        <f t="shared" si="13"/>
        <v>2067.6999999999998</v>
      </c>
      <c r="U73" s="85"/>
      <c r="W73" s="77"/>
    </row>
    <row r="74" spans="1:75" ht="18.75" hidden="1">
      <c r="A74" s="7" t="s">
        <v>115</v>
      </c>
      <c r="B74" s="89">
        <v>225</v>
      </c>
      <c r="C74" s="6">
        <v>1038.0999999999999</v>
      </c>
      <c r="D74" s="110">
        <v>229.8</v>
      </c>
      <c r="E74" s="67">
        <v>379.9</v>
      </c>
      <c r="F74" s="64">
        <v>766.5</v>
      </c>
      <c r="G74" s="64">
        <v>79</v>
      </c>
      <c r="H74" s="64"/>
      <c r="I74" s="64"/>
      <c r="J74" s="109">
        <v>154</v>
      </c>
      <c r="K74" s="42">
        <f>1118+86.6</f>
        <v>1204.5999999999999</v>
      </c>
      <c r="L74" s="123">
        <f t="shared" si="9"/>
        <v>3851.9</v>
      </c>
      <c r="M74" s="42">
        <v>36.700000000000003</v>
      </c>
      <c r="N74" s="138">
        <f t="shared" si="10"/>
        <v>1225.4000000000001</v>
      </c>
      <c r="O74" s="125">
        <v>111.7</v>
      </c>
      <c r="P74" s="109">
        <f t="shared" si="11"/>
        <v>1337.1000000000001</v>
      </c>
      <c r="Q74" s="39">
        <f t="shared" si="7"/>
        <v>17.12</v>
      </c>
      <c r="R74" s="39">
        <f t="shared" si="8"/>
        <v>5.9426666666666677</v>
      </c>
      <c r="S74" s="128">
        <f t="shared" si="12"/>
        <v>0.83167354870051013</v>
      </c>
      <c r="T74" s="92">
        <f t="shared" si="13"/>
        <v>3888.6</v>
      </c>
      <c r="U74" s="85"/>
      <c r="W74" s="77"/>
    </row>
    <row r="75" spans="1:75" s="107" customFormat="1" ht="18.75">
      <c r="A75" s="120">
        <v>6</v>
      </c>
      <c r="B75" s="106">
        <v>189</v>
      </c>
      <c r="C75" s="97">
        <v>1700.9</v>
      </c>
      <c r="D75" s="99">
        <v>376.6</v>
      </c>
      <c r="E75" s="68">
        <v>508.4</v>
      </c>
      <c r="F75" s="66">
        <v>1385.6</v>
      </c>
      <c r="G75" s="66">
        <v>165.6</v>
      </c>
      <c r="H75" s="66"/>
      <c r="I75" s="66"/>
      <c r="J75" s="98">
        <v>217</v>
      </c>
      <c r="K75" s="44">
        <f>1487+115.1</f>
        <v>1602.1</v>
      </c>
      <c r="L75" s="123">
        <f t="shared" si="9"/>
        <v>5956.2</v>
      </c>
      <c r="M75" s="42">
        <v>62.6</v>
      </c>
      <c r="N75" s="138">
        <f t="shared" si="10"/>
        <v>2059.6</v>
      </c>
      <c r="O75" s="125">
        <v>171.6</v>
      </c>
      <c r="P75" s="109">
        <f t="shared" si="11"/>
        <v>2231.1999999999998</v>
      </c>
      <c r="Q75" s="39">
        <f t="shared" si="7"/>
        <v>31.513999999999999</v>
      </c>
      <c r="R75" s="39">
        <f t="shared" si="8"/>
        <v>11.805291005291004</v>
      </c>
      <c r="S75" s="157">
        <f t="shared" si="12"/>
        <v>1.5309205732329365</v>
      </c>
      <c r="T75" s="92">
        <f t="shared" si="13"/>
        <v>6018.8</v>
      </c>
      <c r="U75" s="85"/>
      <c r="V75" s="80"/>
      <c r="W75" s="77"/>
      <c r="X75" s="80"/>
      <c r="Y75" s="80"/>
      <c r="Z75" s="87"/>
      <c r="AA75" s="87"/>
      <c r="AB75" s="87"/>
      <c r="AC75" s="87"/>
      <c r="AD75" s="87"/>
      <c r="AE75" s="87"/>
      <c r="AF75" s="87"/>
      <c r="AG75" s="87"/>
      <c r="AH75" s="87"/>
      <c r="AI75" s="87"/>
      <c r="AJ75" s="87"/>
      <c r="AK75" s="87"/>
      <c r="AL75" s="87"/>
      <c r="AM75" s="87"/>
      <c r="AN75" s="87"/>
      <c r="AO75" s="87"/>
      <c r="AP75" s="87"/>
      <c r="AQ75" s="87"/>
      <c r="AR75" s="87"/>
      <c r="AS75" s="87"/>
      <c r="AT75" s="87"/>
      <c r="AU75" s="87"/>
      <c r="AV75" s="87"/>
      <c r="AW75" s="87"/>
      <c r="AX75" s="87"/>
      <c r="AY75" s="87"/>
      <c r="AZ75" s="87"/>
      <c r="BA75" s="87"/>
      <c r="BB75" s="87"/>
      <c r="BC75" s="87"/>
      <c r="BD75" s="87"/>
      <c r="BE75" s="87"/>
      <c r="BF75" s="87"/>
      <c r="BG75" s="87"/>
      <c r="BH75" s="87"/>
      <c r="BI75" s="87"/>
      <c r="BJ75" s="87"/>
      <c r="BK75" s="87"/>
      <c r="BL75" s="87"/>
      <c r="BM75" s="87"/>
      <c r="BN75" s="87"/>
      <c r="BO75" s="87"/>
      <c r="BP75" s="87"/>
      <c r="BQ75" s="87"/>
      <c r="BR75" s="87"/>
      <c r="BS75" s="87"/>
      <c r="BT75" s="87"/>
      <c r="BU75" s="87"/>
      <c r="BV75" s="87"/>
      <c r="BW75" s="87"/>
    </row>
    <row r="76" spans="1:75" ht="18.75" hidden="1">
      <c r="A76" s="7" t="s">
        <v>116</v>
      </c>
      <c r="B76" s="89">
        <v>190</v>
      </c>
      <c r="C76" s="6">
        <v>881.7</v>
      </c>
      <c r="D76" s="110">
        <v>195.2</v>
      </c>
      <c r="E76" s="67">
        <v>471.5</v>
      </c>
      <c r="F76" s="64">
        <v>523.1</v>
      </c>
      <c r="G76" s="64">
        <v>66</v>
      </c>
      <c r="H76" s="64"/>
      <c r="I76" s="64"/>
      <c r="J76" s="109">
        <v>154</v>
      </c>
      <c r="K76" s="42">
        <f>1012.5+78.4</f>
        <v>1090.9000000000001</v>
      </c>
      <c r="L76" s="123">
        <f t="shared" si="9"/>
        <v>3382.4</v>
      </c>
      <c r="M76" s="42">
        <v>25.3</v>
      </c>
      <c r="N76" s="138">
        <f t="shared" si="10"/>
        <v>1060.5999999999999</v>
      </c>
      <c r="O76" s="125">
        <v>89.8</v>
      </c>
      <c r="P76" s="109">
        <f t="shared" si="11"/>
        <v>1150.3999999999999</v>
      </c>
      <c r="Q76" s="39">
        <f t="shared" si="7"/>
        <v>17.802</v>
      </c>
      <c r="R76" s="39">
        <f t="shared" si="8"/>
        <v>6.0547368421052621</v>
      </c>
      <c r="S76" s="128">
        <f t="shared" si="12"/>
        <v>0.86480446927374299</v>
      </c>
      <c r="T76" s="92">
        <f t="shared" si="13"/>
        <v>3407.7000000000003</v>
      </c>
      <c r="U76" s="85"/>
      <c r="W76" s="77"/>
    </row>
    <row r="77" spans="1:75" ht="18.75" hidden="1">
      <c r="A77" s="7" t="s">
        <v>117</v>
      </c>
      <c r="B77" s="89">
        <v>170</v>
      </c>
      <c r="C77" s="6">
        <v>873.9</v>
      </c>
      <c r="D77" s="110">
        <v>193.5</v>
      </c>
      <c r="E77" s="67">
        <v>442</v>
      </c>
      <c r="F77" s="64">
        <v>346.9</v>
      </c>
      <c r="G77" s="64">
        <v>67.2</v>
      </c>
      <c r="H77" s="64"/>
      <c r="I77" s="64"/>
      <c r="J77" s="109">
        <v>154</v>
      </c>
      <c r="K77" s="42">
        <f>756.3+58.6</f>
        <v>814.9</v>
      </c>
      <c r="L77" s="123">
        <f t="shared" si="9"/>
        <v>2892.4</v>
      </c>
      <c r="M77" s="42">
        <v>24.8</v>
      </c>
      <c r="N77" s="138">
        <f t="shared" si="10"/>
        <v>856.1</v>
      </c>
      <c r="O77" s="125">
        <v>101.5</v>
      </c>
      <c r="P77" s="109">
        <f t="shared" si="11"/>
        <v>957.6</v>
      </c>
      <c r="Q77" s="39">
        <f t="shared" si="7"/>
        <v>17.013999999999999</v>
      </c>
      <c r="R77" s="39">
        <f t="shared" si="8"/>
        <v>5.6329411764705881</v>
      </c>
      <c r="S77" s="128">
        <f t="shared" si="12"/>
        <v>0.82652416808355589</v>
      </c>
      <c r="T77" s="92">
        <f t="shared" si="13"/>
        <v>2917.2000000000003</v>
      </c>
      <c r="U77" s="85"/>
      <c r="W77" s="77"/>
    </row>
    <row r="78" spans="1:75" ht="18.75" hidden="1">
      <c r="A78" s="7" t="s">
        <v>118</v>
      </c>
      <c r="B78" s="89">
        <v>153</v>
      </c>
      <c r="C78" s="6">
        <v>670.7</v>
      </c>
      <c r="D78" s="110">
        <v>148.5</v>
      </c>
      <c r="E78" s="67">
        <v>278.3</v>
      </c>
      <c r="F78" s="64">
        <v>312.2</v>
      </c>
      <c r="G78" s="64">
        <v>32.5</v>
      </c>
      <c r="H78" s="64"/>
      <c r="I78" s="64"/>
      <c r="J78" s="109">
        <v>150</v>
      </c>
      <c r="K78" s="42">
        <f>723.6+56</f>
        <v>779.6</v>
      </c>
      <c r="L78" s="123">
        <f t="shared" si="9"/>
        <v>2371.8000000000002</v>
      </c>
      <c r="M78" s="42">
        <v>34.9</v>
      </c>
      <c r="N78" s="138">
        <f t="shared" si="10"/>
        <v>623</v>
      </c>
      <c r="O78" s="125">
        <v>106.6</v>
      </c>
      <c r="P78" s="109">
        <f t="shared" si="11"/>
        <v>729.6</v>
      </c>
      <c r="Q78" s="39">
        <f t="shared" si="7"/>
        <v>15.502000000000001</v>
      </c>
      <c r="R78" s="39">
        <f t="shared" si="8"/>
        <v>4.7686274509803921</v>
      </c>
      <c r="S78" s="128">
        <f t="shared" si="12"/>
        <v>0.75307262569832401</v>
      </c>
      <c r="T78" s="92">
        <f t="shared" si="13"/>
        <v>2406.7000000000003</v>
      </c>
      <c r="U78" s="85"/>
      <c r="W78" s="77"/>
    </row>
    <row r="79" spans="1:75" ht="18.75" hidden="1">
      <c r="A79" s="7" t="s">
        <v>119</v>
      </c>
      <c r="B79" s="89">
        <v>235</v>
      </c>
      <c r="C79" s="6">
        <v>1038.0999999999999</v>
      </c>
      <c r="D79" s="110">
        <v>229.8</v>
      </c>
      <c r="E79" s="67">
        <v>239</v>
      </c>
      <c r="F79" s="64">
        <v>724.3</v>
      </c>
      <c r="G79" s="64">
        <v>109</v>
      </c>
      <c r="H79" s="64"/>
      <c r="I79" s="64"/>
      <c r="J79" s="109">
        <v>154</v>
      </c>
      <c r="K79" s="42">
        <f>1101.6+85.3</f>
        <v>1186.8999999999999</v>
      </c>
      <c r="L79" s="123">
        <f t="shared" si="9"/>
        <v>3681.1</v>
      </c>
      <c r="M79" s="42">
        <v>34</v>
      </c>
      <c r="N79" s="138">
        <f t="shared" si="10"/>
        <v>1072.3</v>
      </c>
      <c r="O79" s="125">
        <v>114.3</v>
      </c>
      <c r="P79" s="109">
        <f t="shared" si="11"/>
        <v>1186.5999999999999</v>
      </c>
      <c r="Q79" s="39">
        <f t="shared" si="7"/>
        <v>15.664</v>
      </c>
      <c r="R79" s="39">
        <f t="shared" si="8"/>
        <v>5.0493617021276593</v>
      </c>
      <c r="S79" s="128">
        <f t="shared" si="12"/>
        <v>0.76094243381102744</v>
      </c>
      <c r="T79" s="92">
        <f t="shared" si="13"/>
        <v>3715.1</v>
      </c>
      <c r="U79" s="85"/>
      <c r="W79" s="77"/>
    </row>
    <row r="80" spans="1:75" s="107" customFormat="1" ht="18.75">
      <c r="A80" s="120">
        <v>50</v>
      </c>
      <c r="B80" s="106">
        <v>269</v>
      </c>
      <c r="C80" s="97">
        <v>1489.9</v>
      </c>
      <c r="D80" s="99">
        <v>329.9</v>
      </c>
      <c r="E80" s="68">
        <v>548.79999999999995</v>
      </c>
      <c r="F80" s="66">
        <v>780</v>
      </c>
      <c r="G80" s="66">
        <v>102.9</v>
      </c>
      <c r="H80" s="66">
        <v>27.6</v>
      </c>
      <c r="I80" s="66"/>
      <c r="J80" s="98">
        <v>203</v>
      </c>
      <c r="K80" s="44">
        <f>1229+95.1</f>
        <v>1324.1</v>
      </c>
      <c r="L80" s="123">
        <f t="shared" si="9"/>
        <v>4806.2</v>
      </c>
      <c r="M80" s="42">
        <v>42.4</v>
      </c>
      <c r="N80" s="138">
        <f t="shared" si="10"/>
        <v>1459.3</v>
      </c>
      <c r="O80" s="125">
        <v>165</v>
      </c>
      <c r="P80" s="109">
        <f t="shared" si="11"/>
        <v>1624.3</v>
      </c>
      <c r="Q80" s="39">
        <f t="shared" si="7"/>
        <v>17.867000000000001</v>
      </c>
      <c r="R80" s="39">
        <f t="shared" si="8"/>
        <v>6.0382899628252789</v>
      </c>
      <c r="S80" s="128">
        <f t="shared" si="12"/>
        <v>0.86796210833130927</v>
      </c>
      <c r="T80" s="92">
        <f t="shared" si="13"/>
        <v>4848.5999999999995</v>
      </c>
      <c r="U80" s="85"/>
      <c r="V80" s="80"/>
      <c r="W80" s="77"/>
      <c r="X80" s="80"/>
      <c r="Y80" s="80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7"/>
      <c r="BV80" s="87"/>
      <c r="BW80" s="87"/>
    </row>
    <row r="81" spans="1:75" ht="18.75" hidden="1">
      <c r="A81" s="7" t="s">
        <v>120</v>
      </c>
      <c r="B81" s="89">
        <v>191</v>
      </c>
      <c r="C81" s="6">
        <v>928.6</v>
      </c>
      <c r="D81" s="110">
        <v>205.6</v>
      </c>
      <c r="E81" s="67">
        <v>630.79999999999995</v>
      </c>
      <c r="F81" s="64">
        <v>381.6</v>
      </c>
      <c r="G81" s="64">
        <v>68.400000000000006</v>
      </c>
      <c r="H81" s="64"/>
      <c r="I81" s="64"/>
      <c r="J81" s="109">
        <v>154</v>
      </c>
      <c r="K81" s="42">
        <f>874.4+67.8</f>
        <v>942.19999999999993</v>
      </c>
      <c r="L81" s="123">
        <f t="shared" si="9"/>
        <v>3311.2</v>
      </c>
      <c r="M81" s="42">
        <v>25.7</v>
      </c>
      <c r="N81" s="138">
        <f t="shared" si="10"/>
        <v>1080.8</v>
      </c>
      <c r="O81" s="125">
        <v>116.1</v>
      </c>
      <c r="P81" s="109">
        <f t="shared" si="11"/>
        <v>1196.8999999999999</v>
      </c>
      <c r="Q81" s="39">
        <f t="shared" si="7"/>
        <v>17.335999999999999</v>
      </c>
      <c r="R81" s="39">
        <f t="shared" si="8"/>
        <v>6.2664921465968577</v>
      </c>
      <c r="S81" s="128">
        <f t="shared" si="12"/>
        <v>0.84216662618411453</v>
      </c>
      <c r="T81" s="92">
        <f t="shared" si="13"/>
        <v>3336.8999999999996</v>
      </c>
      <c r="U81" s="85"/>
      <c r="W81" s="77"/>
    </row>
    <row r="82" spans="1:75" ht="18.75" hidden="1">
      <c r="A82" s="7" t="s">
        <v>121</v>
      </c>
      <c r="B82" s="89">
        <v>201</v>
      </c>
      <c r="C82" s="6">
        <v>1030.3</v>
      </c>
      <c r="D82" s="110">
        <v>228.1</v>
      </c>
      <c r="E82" s="67">
        <v>456</v>
      </c>
      <c r="F82" s="64">
        <v>312.2</v>
      </c>
      <c r="G82" s="64">
        <v>83</v>
      </c>
      <c r="H82" s="64"/>
      <c r="I82" s="64"/>
      <c r="J82" s="109">
        <v>154</v>
      </c>
      <c r="K82" s="42">
        <f>952.6+73.7</f>
        <v>1026.3</v>
      </c>
      <c r="L82" s="123">
        <f t="shared" si="9"/>
        <v>3289.9</v>
      </c>
      <c r="M82" s="42">
        <v>30.4</v>
      </c>
      <c r="N82" s="138">
        <f t="shared" si="10"/>
        <v>851.2</v>
      </c>
      <c r="O82" s="125">
        <v>109.4</v>
      </c>
      <c r="P82" s="109">
        <f t="shared" si="11"/>
        <v>960.6</v>
      </c>
      <c r="Q82" s="39">
        <f t="shared" si="7"/>
        <v>16.367999999999999</v>
      </c>
      <c r="R82" s="39">
        <f t="shared" si="8"/>
        <v>4.7791044776119405</v>
      </c>
      <c r="S82" s="128">
        <f t="shared" si="12"/>
        <v>0.79514209375759037</v>
      </c>
      <c r="T82" s="92">
        <f t="shared" si="13"/>
        <v>3320.3</v>
      </c>
      <c r="U82" s="85"/>
      <c r="W82" s="77"/>
    </row>
    <row r="83" spans="1:75" s="107" customFormat="1" ht="18.75">
      <c r="A83" s="120">
        <v>91</v>
      </c>
      <c r="B83" s="106">
        <v>243</v>
      </c>
      <c r="C83" s="97">
        <v>1411.7</v>
      </c>
      <c r="D83" s="99">
        <v>312.60000000000002</v>
      </c>
      <c r="E83" s="68">
        <v>465</v>
      </c>
      <c r="F83" s="66">
        <f>709.1+91.9</f>
        <v>801</v>
      </c>
      <c r="G83" s="66">
        <v>72</v>
      </c>
      <c r="H83" s="66"/>
      <c r="I83" s="66"/>
      <c r="J83" s="98">
        <v>208</v>
      </c>
      <c r="K83" s="44">
        <f>1196.2+92.5</f>
        <v>1288.7</v>
      </c>
      <c r="L83" s="123">
        <f t="shared" si="9"/>
        <v>4559</v>
      </c>
      <c r="M83" s="42">
        <v>52.1</v>
      </c>
      <c r="N83" s="138">
        <f t="shared" si="10"/>
        <v>1338</v>
      </c>
      <c r="O83" s="125">
        <v>177.4</v>
      </c>
      <c r="P83" s="109">
        <f t="shared" si="11"/>
        <v>1515.4</v>
      </c>
      <c r="Q83" s="39">
        <f t="shared" si="7"/>
        <v>18.760999999999999</v>
      </c>
      <c r="R83" s="39">
        <f t="shared" si="8"/>
        <v>6.2362139917695476</v>
      </c>
      <c r="S83" s="128">
        <f t="shared" si="12"/>
        <v>0.91139179013845029</v>
      </c>
      <c r="T83" s="92">
        <f t="shared" si="13"/>
        <v>4611.1000000000004</v>
      </c>
      <c r="U83" s="85"/>
      <c r="V83" s="80"/>
      <c r="W83" s="77"/>
      <c r="X83" s="80"/>
      <c r="Y83" s="80"/>
      <c r="Z83" s="87"/>
      <c r="AA83" s="87"/>
      <c r="AB83" s="87"/>
      <c r="AC83" s="87"/>
      <c r="AD83" s="87"/>
      <c r="AE83" s="87"/>
      <c r="AF83" s="87"/>
      <c r="AG83" s="87"/>
      <c r="AH83" s="87"/>
      <c r="AI83" s="87"/>
      <c r="AJ83" s="87"/>
      <c r="AK83" s="87"/>
      <c r="AL83" s="87"/>
      <c r="AM83" s="87"/>
      <c r="AN83" s="87"/>
      <c r="AO83" s="87"/>
      <c r="AP83" s="87"/>
      <c r="AQ83" s="87"/>
      <c r="AR83" s="87"/>
      <c r="AS83" s="87"/>
      <c r="AT83" s="87"/>
      <c r="AU83" s="87"/>
      <c r="AV83" s="87"/>
      <c r="AW83" s="87"/>
      <c r="AX83" s="87"/>
      <c r="AY83" s="87"/>
      <c r="AZ83" s="87"/>
      <c r="BA83" s="87"/>
      <c r="BB83" s="87"/>
      <c r="BC83" s="87"/>
      <c r="BD83" s="87"/>
      <c r="BE83" s="87"/>
      <c r="BF83" s="87"/>
      <c r="BG83" s="87"/>
      <c r="BH83" s="87"/>
      <c r="BI83" s="87"/>
      <c r="BJ83" s="87"/>
      <c r="BK83" s="87"/>
      <c r="BL83" s="87"/>
      <c r="BM83" s="87"/>
      <c r="BN83" s="87"/>
      <c r="BO83" s="87"/>
      <c r="BP83" s="87"/>
      <c r="BQ83" s="87"/>
      <c r="BR83" s="87"/>
      <c r="BS83" s="87"/>
      <c r="BT83" s="87"/>
      <c r="BU83" s="87"/>
      <c r="BV83" s="87"/>
      <c r="BW83" s="87"/>
    </row>
    <row r="84" spans="1:75" ht="18.75" hidden="1">
      <c r="A84" s="7" t="s">
        <v>122</v>
      </c>
      <c r="B84" s="89">
        <v>182</v>
      </c>
      <c r="C84" s="6">
        <v>873.9</v>
      </c>
      <c r="D84" s="110">
        <v>193.5</v>
      </c>
      <c r="E84" s="67">
        <v>350.4</v>
      </c>
      <c r="F84" s="64">
        <v>530</v>
      </c>
      <c r="G84" s="64">
        <v>138.6</v>
      </c>
      <c r="H84" s="64"/>
      <c r="I84" s="64"/>
      <c r="J84" s="109">
        <v>154</v>
      </c>
      <c r="K84" s="42">
        <f>761.7+59</f>
        <v>820.7</v>
      </c>
      <c r="L84" s="123">
        <f t="shared" si="9"/>
        <v>3061.1</v>
      </c>
      <c r="M84" s="42">
        <v>45.6</v>
      </c>
      <c r="N84" s="138">
        <f t="shared" si="10"/>
        <v>1019</v>
      </c>
      <c r="O84" s="125">
        <v>125</v>
      </c>
      <c r="P84" s="109">
        <f t="shared" si="11"/>
        <v>1144</v>
      </c>
      <c r="Q84" s="39">
        <f t="shared" si="7"/>
        <v>16.818999999999999</v>
      </c>
      <c r="R84" s="39">
        <f t="shared" si="8"/>
        <v>6.2857142857142856</v>
      </c>
      <c r="S84" s="128">
        <f t="shared" si="12"/>
        <v>0.8170512509108574</v>
      </c>
      <c r="T84" s="92">
        <f t="shared" si="13"/>
        <v>3106.7</v>
      </c>
      <c r="U84" s="85"/>
      <c r="W84" s="77"/>
    </row>
    <row r="85" spans="1:75" ht="18.75">
      <c r="A85" s="7" t="s">
        <v>123</v>
      </c>
      <c r="B85" s="89">
        <v>495</v>
      </c>
      <c r="C85" s="6">
        <v>1810.4</v>
      </c>
      <c r="D85" s="110">
        <v>400.8</v>
      </c>
      <c r="E85" s="67">
        <v>723.7</v>
      </c>
      <c r="F85" s="64">
        <v>1812.6</v>
      </c>
      <c r="G85" s="64">
        <v>235.6</v>
      </c>
      <c r="H85" s="64"/>
      <c r="I85" s="64"/>
      <c r="J85" s="109">
        <v>259.60000000000002</v>
      </c>
      <c r="K85" s="42">
        <f>2303.3+178.3</f>
        <v>2481.6000000000004</v>
      </c>
      <c r="L85" s="123">
        <f t="shared" si="9"/>
        <v>7724.3</v>
      </c>
      <c r="M85" s="42">
        <v>76.7</v>
      </c>
      <c r="N85" s="138">
        <f t="shared" si="10"/>
        <v>2771.9</v>
      </c>
      <c r="O85" s="125">
        <v>189.7</v>
      </c>
      <c r="P85" s="109">
        <f t="shared" si="11"/>
        <v>2961.6</v>
      </c>
      <c r="Q85" s="39">
        <f t="shared" si="7"/>
        <v>15.605</v>
      </c>
      <c r="R85" s="39">
        <f t="shared" si="8"/>
        <v>5.9830303030303025</v>
      </c>
      <c r="S85" s="128">
        <f t="shared" si="12"/>
        <v>0.75807626912800585</v>
      </c>
      <c r="T85" s="92">
        <f t="shared" si="13"/>
        <v>7801</v>
      </c>
      <c r="U85" s="85"/>
      <c r="W85" s="77"/>
    </row>
    <row r="86" spans="1:75" ht="18.75" hidden="1">
      <c r="A86" s="7" t="s">
        <v>124</v>
      </c>
      <c r="B86" s="89">
        <v>185</v>
      </c>
      <c r="C86" s="6">
        <v>905.2</v>
      </c>
      <c r="D86" s="110">
        <v>200.4</v>
      </c>
      <c r="E86" s="67">
        <v>615.6</v>
      </c>
      <c r="F86" s="64">
        <v>468.3</v>
      </c>
      <c r="G86" s="64">
        <v>70.900000000000006</v>
      </c>
      <c r="H86" s="64"/>
      <c r="I86" s="64"/>
      <c r="J86" s="109">
        <v>154</v>
      </c>
      <c r="K86" s="42">
        <f>790.7+61.3</f>
        <v>852</v>
      </c>
      <c r="L86" s="123">
        <f t="shared" si="9"/>
        <v>3266.4</v>
      </c>
      <c r="M86" s="42">
        <v>26.2</v>
      </c>
      <c r="N86" s="138">
        <f t="shared" si="10"/>
        <v>1154.8000000000002</v>
      </c>
      <c r="O86" s="125">
        <v>126</v>
      </c>
      <c r="P86" s="109">
        <f t="shared" si="11"/>
        <v>1280.8000000000002</v>
      </c>
      <c r="Q86" s="39">
        <f t="shared" si="7"/>
        <v>17.655999999999999</v>
      </c>
      <c r="R86" s="39">
        <f t="shared" si="8"/>
        <v>6.9232432432432445</v>
      </c>
      <c r="S86" s="128">
        <f t="shared" si="12"/>
        <v>0.85771192615982506</v>
      </c>
      <c r="T86" s="92">
        <f t="shared" si="13"/>
        <v>3292.6</v>
      </c>
      <c r="U86" s="85"/>
      <c r="W86" s="77"/>
    </row>
    <row r="87" spans="1:75" ht="18.75" hidden="1">
      <c r="A87" s="7" t="s">
        <v>125</v>
      </c>
      <c r="B87" s="89">
        <v>197</v>
      </c>
      <c r="C87" s="6">
        <v>952.1</v>
      </c>
      <c r="D87" s="110">
        <v>210.8</v>
      </c>
      <c r="E87" s="67">
        <v>523.9</v>
      </c>
      <c r="F87" s="64">
        <v>398.9</v>
      </c>
      <c r="G87" s="64">
        <v>70.900000000000006</v>
      </c>
      <c r="H87" s="64"/>
      <c r="I87" s="64"/>
      <c r="J87" s="109">
        <v>154</v>
      </c>
      <c r="K87" s="42">
        <f>1032.5+80</f>
        <v>1112.5</v>
      </c>
      <c r="L87" s="123">
        <f t="shared" si="9"/>
        <v>3423.1</v>
      </c>
      <c r="M87" s="42">
        <v>25.2</v>
      </c>
      <c r="N87" s="138">
        <f t="shared" si="10"/>
        <v>993.69999999999993</v>
      </c>
      <c r="O87" s="125">
        <v>117.8</v>
      </c>
      <c r="P87" s="109">
        <f t="shared" si="11"/>
        <v>1111.5</v>
      </c>
      <c r="Q87" s="39">
        <f t="shared" si="7"/>
        <v>17.376000000000001</v>
      </c>
      <c r="R87" s="39">
        <f t="shared" si="8"/>
        <v>5.6421319796954315</v>
      </c>
      <c r="S87" s="128">
        <f t="shared" si="12"/>
        <v>0.84410978868107844</v>
      </c>
      <c r="T87" s="92">
        <f t="shared" si="13"/>
        <v>3448.2999999999997</v>
      </c>
      <c r="U87" s="85"/>
      <c r="W87" s="77"/>
    </row>
    <row r="88" spans="1:75" ht="18.75">
      <c r="A88" s="7" t="s">
        <v>126</v>
      </c>
      <c r="B88" s="89">
        <v>417</v>
      </c>
      <c r="C88" s="6">
        <v>1724.4</v>
      </c>
      <c r="D88" s="110">
        <v>381.8</v>
      </c>
      <c r="E88" s="67">
        <v>607.5</v>
      </c>
      <c r="F88" s="64">
        <v>1419</v>
      </c>
      <c r="G88" s="64">
        <v>162.5</v>
      </c>
      <c r="H88" s="64"/>
      <c r="I88" s="64"/>
      <c r="J88" s="109">
        <v>239</v>
      </c>
      <c r="K88" s="42">
        <f>1961.5+151.9</f>
        <v>2113.4</v>
      </c>
      <c r="L88" s="123">
        <f t="shared" si="9"/>
        <v>6647.6</v>
      </c>
      <c r="M88" s="42">
        <v>27.6</v>
      </c>
      <c r="N88" s="138">
        <f t="shared" si="10"/>
        <v>2189</v>
      </c>
      <c r="O88" s="125">
        <v>203</v>
      </c>
      <c r="P88" s="109">
        <f t="shared" si="11"/>
        <v>2392</v>
      </c>
      <c r="Q88" s="39">
        <f t="shared" si="7"/>
        <v>15.941000000000001</v>
      </c>
      <c r="R88" s="39">
        <f t="shared" si="8"/>
        <v>5.7362110311750598</v>
      </c>
      <c r="S88" s="128">
        <f t="shared" si="12"/>
        <v>0.77439883410250188</v>
      </c>
      <c r="T88" s="92">
        <f t="shared" si="13"/>
        <v>6675.2000000000007</v>
      </c>
      <c r="U88" s="85"/>
      <c r="W88" s="77"/>
    </row>
    <row r="89" spans="1:75" ht="18.75">
      <c r="A89" s="7" t="s">
        <v>127</v>
      </c>
      <c r="B89" s="89">
        <v>286</v>
      </c>
      <c r="C89" s="6">
        <v>1599.3</v>
      </c>
      <c r="D89" s="110">
        <v>354.1</v>
      </c>
      <c r="E89" s="67">
        <v>632.29999999999995</v>
      </c>
      <c r="F89" s="64">
        <v>640.79999999999995</v>
      </c>
      <c r="G89" s="64">
        <v>98.1</v>
      </c>
      <c r="H89" s="64"/>
      <c r="I89" s="64"/>
      <c r="J89" s="109">
        <v>203</v>
      </c>
      <c r="K89" s="42">
        <f>1343.5+104</f>
        <v>1447.5</v>
      </c>
      <c r="L89" s="123">
        <f t="shared" si="9"/>
        <v>4975.1000000000004</v>
      </c>
      <c r="M89" s="42">
        <v>32.9</v>
      </c>
      <c r="N89" s="138">
        <f t="shared" si="10"/>
        <v>1371.1999999999998</v>
      </c>
      <c r="O89" s="125">
        <v>144.4</v>
      </c>
      <c r="P89" s="109">
        <f t="shared" si="11"/>
        <v>1515.6</v>
      </c>
      <c r="Q89" s="39">
        <f t="shared" si="7"/>
        <v>17.395</v>
      </c>
      <c r="R89" s="39">
        <f t="shared" si="8"/>
        <v>5.2993006993006988</v>
      </c>
      <c r="S89" s="128">
        <f t="shared" si="12"/>
        <v>0.84503279086713623</v>
      </c>
      <c r="T89" s="92">
        <f t="shared" si="13"/>
        <v>5008</v>
      </c>
      <c r="U89" s="85"/>
      <c r="W89" s="77"/>
    </row>
    <row r="90" spans="1:75" ht="18.75" hidden="1">
      <c r="A90" s="7" t="s">
        <v>128</v>
      </c>
      <c r="B90" s="89">
        <v>223</v>
      </c>
      <c r="C90" s="6">
        <v>991.2</v>
      </c>
      <c r="D90" s="110">
        <v>219.5</v>
      </c>
      <c r="E90" s="67">
        <v>419.1</v>
      </c>
      <c r="F90" s="64">
        <v>890.3</v>
      </c>
      <c r="G90" s="64">
        <v>71.2</v>
      </c>
      <c r="H90" s="64"/>
      <c r="I90" s="64"/>
      <c r="J90" s="109">
        <v>154</v>
      </c>
      <c r="K90" s="42">
        <f>1208.9+93.6</f>
        <v>1302.5</v>
      </c>
      <c r="L90" s="123">
        <f t="shared" si="9"/>
        <v>4047.8</v>
      </c>
      <c r="M90" s="42">
        <v>49</v>
      </c>
      <c r="N90" s="138">
        <f t="shared" si="10"/>
        <v>1380.6000000000001</v>
      </c>
      <c r="O90" s="125">
        <v>116.4</v>
      </c>
      <c r="P90" s="109">
        <f t="shared" si="11"/>
        <v>1497.0000000000002</v>
      </c>
      <c r="Q90" s="39">
        <f t="shared" si="7"/>
        <v>18.152000000000001</v>
      </c>
      <c r="R90" s="39">
        <f t="shared" si="8"/>
        <v>6.7130044843049337</v>
      </c>
      <c r="S90" s="128">
        <f t="shared" si="12"/>
        <v>0.8818071411221764</v>
      </c>
      <c r="T90" s="92">
        <f t="shared" si="13"/>
        <v>4096.8</v>
      </c>
      <c r="U90" s="85"/>
      <c r="W90" s="77"/>
    </row>
    <row r="91" spans="1:75" ht="18.75" hidden="1">
      <c r="A91" s="7" t="s">
        <v>129</v>
      </c>
      <c r="B91" s="89">
        <v>113</v>
      </c>
      <c r="C91" s="42">
        <v>741</v>
      </c>
      <c r="D91" s="42">
        <v>164.1</v>
      </c>
      <c r="E91" s="67">
        <v>393</v>
      </c>
      <c r="F91" s="64">
        <v>433.7</v>
      </c>
      <c r="G91" s="64">
        <v>74.599999999999994</v>
      </c>
      <c r="H91" s="64"/>
      <c r="I91" s="64"/>
      <c r="J91" s="109">
        <v>130</v>
      </c>
      <c r="K91" s="42">
        <f>485.4+37.6</f>
        <v>523</v>
      </c>
      <c r="L91" s="123">
        <f t="shared" si="9"/>
        <v>2459.4</v>
      </c>
      <c r="M91" s="42">
        <v>27</v>
      </c>
      <c r="N91" s="138">
        <f t="shared" si="10"/>
        <v>901.30000000000007</v>
      </c>
      <c r="O91" s="125">
        <v>95.2</v>
      </c>
      <c r="P91" s="109">
        <f t="shared" si="11"/>
        <v>996.50000000000011</v>
      </c>
      <c r="Q91" s="39">
        <f t="shared" si="7"/>
        <v>21.765000000000001</v>
      </c>
      <c r="R91" s="39">
        <f t="shared" si="8"/>
        <v>8.8185840707964616</v>
      </c>
      <c r="S91" s="157">
        <f t="shared" si="12"/>
        <v>1.0573232936604324</v>
      </c>
      <c r="T91" s="92">
        <f t="shared" si="13"/>
        <v>2486.4</v>
      </c>
      <c r="U91" s="85"/>
      <c r="W91" s="77"/>
    </row>
    <row r="92" spans="1:75" ht="18.75" hidden="1">
      <c r="A92" s="7" t="s">
        <v>130</v>
      </c>
      <c r="B92" s="89">
        <v>358</v>
      </c>
      <c r="C92" s="42">
        <v>1358.6</v>
      </c>
      <c r="D92" s="42">
        <v>300.8</v>
      </c>
      <c r="E92" s="67">
        <v>609</v>
      </c>
      <c r="F92" s="64">
        <f>1131.3+139.7</f>
        <v>1271</v>
      </c>
      <c r="G92" s="64">
        <v>182.4</v>
      </c>
      <c r="H92" s="64"/>
      <c r="I92" s="64"/>
      <c r="J92" s="109">
        <v>199</v>
      </c>
      <c r="K92" s="42">
        <f>1577.9+122.2</f>
        <v>1700.1000000000001</v>
      </c>
      <c r="L92" s="123">
        <f t="shared" si="9"/>
        <v>5620.9</v>
      </c>
      <c r="M92" s="42">
        <v>50</v>
      </c>
      <c r="N92" s="138">
        <f t="shared" si="10"/>
        <v>2062.4</v>
      </c>
      <c r="O92" s="125">
        <v>124.4</v>
      </c>
      <c r="P92" s="109">
        <f t="shared" si="11"/>
        <v>2186.8000000000002</v>
      </c>
      <c r="Q92" s="39">
        <f t="shared" si="7"/>
        <v>15.701000000000001</v>
      </c>
      <c r="R92" s="39">
        <f t="shared" si="8"/>
        <v>6.108379888268157</v>
      </c>
      <c r="S92" s="128">
        <f t="shared" si="12"/>
        <v>0.76273985912071895</v>
      </c>
      <c r="T92" s="92">
        <f t="shared" si="13"/>
        <v>5670.9</v>
      </c>
      <c r="U92" s="85"/>
      <c r="W92" s="77"/>
    </row>
    <row r="93" spans="1:75" ht="18.75" hidden="1">
      <c r="A93" s="7" t="s">
        <v>131</v>
      </c>
      <c r="B93" s="89">
        <v>488</v>
      </c>
      <c r="C93" s="42">
        <v>1600.9</v>
      </c>
      <c r="D93" s="42">
        <v>354.5</v>
      </c>
      <c r="E93" s="67">
        <v>886.9</v>
      </c>
      <c r="F93" s="64">
        <f>1854.2+253.6</f>
        <v>2107.8000000000002</v>
      </c>
      <c r="G93" s="64">
        <v>361.4</v>
      </c>
      <c r="H93" s="64"/>
      <c r="I93" s="64"/>
      <c r="J93" s="109">
        <v>240</v>
      </c>
      <c r="K93" s="42">
        <f>2176.1+168.5</f>
        <v>2344.6</v>
      </c>
      <c r="L93" s="123">
        <f t="shared" si="9"/>
        <v>7896.1</v>
      </c>
      <c r="M93" s="42">
        <v>78.7</v>
      </c>
      <c r="N93" s="138">
        <f t="shared" si="10"/>
        <v>3356.1000000000004</v>
      </c>
      <c r="O93" s="125">
        <v>151</v>
      </c>
      <c r="P93" s="109">
        <f t="shared" si="11"/>
        <v>3507.1000000000004</v>
      </c>
      <c r="Q93" s="155">
        <f t="shared" si="7"/>
        <v>16.181000000000001</v>
      </c>
      <c r="R93" s="39">
        <f t="shared" si="8"/>
        <v>7.1866803278688529</v>
      </c>
      <c r="S93" s="128">
        <f t="shared" si="12"/>
        <v>0.78605780908428469</v>
      </c>
      <c r="T93" s="154">
        <f t="shared" si="13"/>
        <v>7974.8</v>
      </c>
      <c r="U93" s="85"/>
      <c r="W93" s="77"/>
    </row>
    <row r="94" spans="1:75" s="107" customFormat="1" ht="18.75" hidden="1">
      <c r="A94" s="120">
        <v>16</v>
      </c>
      <c r="B94" s="106">
        <v>327</v>
      </c>
      <c r="C94" s="42">
        <v>1171</v>
      </c>
      <c r="D94" s="42">
        <v>259.3</v>
      </c>
      <c r="E94" s="68">
        <v>505.5</v>
      </c>
      <c r="F94" s="66">
        <f>1157.1+149.4</f>
        <v>1306.5</v>
      </c>
      <c r="G94" s="66">
        <v>119.7</v>
      </c>
      <c r="H94" s="66"/>
      <c r="I94" s="66"/>
      <c r="J94" s="98">
        <v>177</v>
      </c>
      <c r="K94" s="44">
        <f>1659.8+128.5</f>
        <v>1788.3</v>
      </c>
      <c r="L94" s="123">
        <f t="shared" si="9"/>
        <v>5327.3</v>
      </c>
      <c r="M94" s="42">
        <v>57.4</v>
      </c>
      <c r="N94" s="138">
        <f t="shared" si="10"/>
        <v>1931.7</v>
      </c>
      <c r="O94" s="125">
        <v>148.5</v>
      </c>
      <c r="P94" s="109">
        <f t="shared" si="11"/>
        <v>2080.1999999999998</v>
      </c>
      <c r="Q94" s="39">
        <f t="shared" si="7"/>
        <v>16.291</v>
      </c>
      <c r="R94" s="39">
        <f t="shared" si="8"/>
        <v>6.3614678899082566</v>
      </c>
      <c r="S94" s="128">
        <f t="shared" si="12"/>
        <v>0.79140150595093517</v>
      </c>
      <c r="T94" s="92">
        <f t="shared" si="13"/>
        <v>5384.7</v>
      </c>
      <c r="U94" s="85"/>
      <c r="V94" s="80"/>
      <c r="W94" s="77"/>
      <c r="X94" s="80"/>
      <c r="Y94" s="80"/>
      <c r="Z94" s="87"/>
      <c r="AA94" s="87"/>
      <c r="AB94" s="87"/>
      <c r="AC94" s="87"/>
      <c r="AD94" s="87"/>
      <c r="AE94" s="87"/>
      <c r="AF94" s="87"/>
      <c r="AG94" s="87"/>
      <c r="AH94" s="87"/>
      <c r="AI94" s="87"/>
      <c r="AJ94" s="87"/>
      <c r="AK94" s="87"/>
      <c r="AL94" s="87"/>
      <c r="AM94" s="87"/>
      <c r="AN94" s="87"/>
      <c r="AO94" s="87"/>
      <c r="AP94" s="87"/>
      <c r="AQ94" s="87"/>
      <c r="AR94" s="87"/>
      <c r="AS94" s="87"/>
      <c r="AT94" s="87"/>
      <c r="AU94" s="87"/>
      <c r="AV94" s="87"/>
      <c r="AW94" s="87"/>
      <c r="AX94" s="87"/>
      <c r="AY94" s="87"/>
      <c r="AZ94" s="87"/>
      <c r="BA94" s="87"/>
      <c r="BB94" s="87"/>
      <c r="BC94" s="87"/>
      <c r="BD94" s="87"/>
      <c r="BE94" s="87"/>
      <c r="BF94" s="87"/>
      <c r="BG94" s="87"/>
      <c r="BH94" s="87"/>
      <c r="BI94" s="87"/>
      <c r="BJ94" s="87"/>
      <c r="BK94" s="87"/>
      <c r="BL94" s="87"/>
      <c r="BM94" s="87"/>
      <c r="BN94" s="87"/>
      <c r="BO94" s="87"/>
      <c r="BP94" s="87"/>
      <c r="BQ94" s="87"/>
      <c r="BR94" s="87"/>
      <c r="BS94" s="87"/>
      <c r="BT94" s="87"/>
      <c r="BU94" s="87"/>
      <c r="BV94" s="87"/>
      <c r="BW94" s="87"/>
    </row>
    <row r="95" spans="1:75" ht="18.75" hidden="1">
      <c r="A95" s="7" t="s">
        <v>132</v>
      </c>
      <c r="B95" s="89">
        <v>365</v>
      </c>
      <c r="C95" s="42">
        <v>1311.7</v>
      </c>
      <c r="D95" s="42">
        <v>290.39999999999998</v>
      </c>
      <c r="E95" s="67">
        <v>492.8</v>
      </c>
      <c r="F95" s="64">
        <f>961.1+116.3</f>
        <v>1077.4000000000001</v>
      </c>
      <c r="G95" s="64">
        <v>231.9</v>
      </c>
      <c r="H95" s="64"/>
      <c r="I95" s="64"/>
      <c r="J95" s="109">
        <v>199</v>
      </c>
      <c r="K95" s="42">
        <f>1719.8+133.1</f>
        <v>1852.8999999999999</v>
      </c>
      <c r="L95" s="123">
        <f t="shared" si="9"/>
        <v>5456.1</v>
      </c>
      <c r="M95" s="42">
        <v>52.1</v>
      </c>
      <c r="N95" s="138">
        <f t="shared" si="10"/>
        <v>1802.1000000000001</v>
      </c>
      <c r="O95" s="125">
        <v>111.7</v>
      </c>
      <c r="P95" s="109">
        <f t="shared" si="11"/>
        <v>1913.8000000000002</v>
      </c>
      <c r="Q95" s="39">
        <f t="shared" si="7"/>
        <v>14.948</v>
      </c>
      <c r="R95" s="39">
        <f t="shared" si="8"/>
        <v>5.2432876712328769</v>
      </c>
      <c r="S95" s="128">
        <f t="shared" si="12"/>
        <v>0.72615982511537525</v>
      </c>
      <c r="T95" s="92">
        <f t="shared" si="13"/>
        <v>5508.2000000000007</v>
      </c>
      <c r="U95" s="85"/>
      <c r="W95" s="77"/>
    </row>
    <row r="96" spans="1:75" ht="18.75" hidden="1">
      <c r="A96" s="7" t="s">
        <v>133</v>
      </c>
      <c r="B96" s="89">
        <v>393</v>
      </c>
      <c r="C96" s="42">
        <v>1288.2</v>
      </c>
      <c r="D96" s="42">
        <v>285.2</v>
      </c>
      <c r="E96" s="67">
        <v>583.5</v>
      </c>
      <c r="F96" s="64">
        <f>1191+167.1</f>
        <v>1358.1</v>
      </c>
      <c r="G96" s="64">
        <v>184.3</v>
      </c>
      <c r="H96" s="64"/>
      <c r="I96" s="64"/>
      <c r="J96" s="109">
        <v>199</v>
      </c>
      <c r="K96" s="42">
        <f>1687.1+130.7</f>
        <v>1817.8</v>
      </c>
      <c r="L96" s="123">
        <f t="shared" si="9"/>
        <v>5716.1</v>
      </c>
      <c r="M96" s="42">
        <v>63.5</v>
      </c>
      <c r="N96" s="138">
        <f t="shared" si="10"/>
        <v>2125.9</v>
      </c>
      <c r="O96" s="125">
        <v>138.9</v>
      </c>
      <c r="P96" s="109">
        <f t="shared" si="11"/>
        <v>2264.8000000000002</v>
      </c>
      <c r="Q96" s="39">
        <f t="shared" si="7"/>
        <v>14.545</v>
      </c>
      <c r="R96" s="39">
        <f t="shared" si="8"/>
        <v>5.7628498727735371</v>
      </c>
      <c r="S96" s="128">
        <f t="shared" si="12"/>
        <v>0.70658246295846483</v>
      </c>
      <c r="T96" s="92">
        <f t="shared" si="13"/>
        <v>5779.6</v>
      </c>
      <c r="U96" s="85"/>
      <c r="W96" s="77"/>
    </row>
    <row r="97" spans="1:75" s="107" customFormat="1" ht="18.75" hidden="1">
      <c r="A97" s="120">
        <v>84</v>
      </c>
      <c r="B97" s="106">
        <v>100</v>
      </c>
      <c r="C97" s="42">
        <v>834.8</v>
      </c>
      <c r="D97" s="42">
        <v>184.8</v>
      </c>
      <c r="E97" s="68">
        <v>404.1</v>
      </c>
      <c r="F97" s="66">
        <v>312.2</v>
      </c>
      <c r="G97" s="66">
        <v>78.900000000000006</v>
      </c>
      <c r="H97" s="66"/>
      <c r="I97" s="66"/>
      <c r="J97" s="98">
        <v>154</v>
      </c>
      <c r="K97" s="44">
        <f>698.1+54</f>
        <v>752.1</v>
      </c>
      <c r="L97" s="123">
        <f t="shared" si="9"/>
        <v>2720.9</v>
      </c>
      <c r="M97" s="42">
        <v>31.6</v>
      </c>
      <c r="N97" s="138">
        <f t="shared" si="10"/>
        <v>795.19999999999993</v>
      </c>
      <c r="O97" s="125">
        <v>94.2</v>
      </c>
      <c r="P97" s="109">
        <f t="shared" si="11"/>
        <v>889.4</v>
      </c>
      <c r="Q97" s="39">
        <f t="shared" si="7"/>
        <v>27.209</v>
      </c>
      <c r="R97" s="39">
        <f t="shared" si="8"/>
        <v>8.8940000000000001</v>
      </c>
      <c r="S97" s="157">
        <f t="shared" si="12"/>
        <v>1.3217877094972066</v>
      </c>
      <c r="T97" s="92">
        <f t="shared" si="13"/>
        <v>2752.5</v>
      </c>
      <c r="U97" s="85"/>
      <c r="V97" s="80"/>
      <c r="W97" s="77"/>
      <c r="X97" s="80"/>
      <c r="Y97" s="80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</row>
    <row r="98" spans="1:75" s="107" customFormat="1" ht="18.75" hidden="1">
      <c r="A98" s="120">
        <v>94</v>
      </c>
      <c r="B98" s="106">
        <v>381</v>
      </c>
      <c r="C98" s="42">
        <v>1546.2</v>
      </c>
      <c r="D98" s="42">
        <v>342.3</v>
      </c>
      <c r="E98" s="68">
        <v>687.7</v>
      </c>
      <c r="F98" s="66">
        <f>1631.5+223.2</f>
        <v>1854.7</v>
      </c>
      <c r="G98" s="66">
        <v>315.10000000000002</v>
      </c>
      <c r="H98" s="66"/>
      <c r="I98" s="66"/>
      <c r="J98" s="98">
        <v>219</v>
      </c>
      <c r="K98" s="44">
        <f>1783.4+138.2</f>
        <v>1921.6000000000001</v>
      </c>
      <c r="L98" s="123">
        <f t="shared" si="9"/>
        <v>6886.6</v>
      </c>
      <c r="M98" s="42">
        <v>86.6</v>
      </c>
      <c r="N98" s="138">
        <f t="shared" si="10"/>
        <v>2857.5</v>
      </c>
      <c r="O98" s="125">
        <v>154</v>
      </c>
      <c r="P98" s="109">
        <f t="shared" si="11"/>
        <v>3011.5</v>
      </c>
      <c r="Q98" s="155">
        <f t="shared" si="7"/>
        <v>18.074999999999999</v>
      </c>
      <c r="R98" s="39">
        <f t="shared" si="8"/>
        <v>7.9041994750656164</v>
      </c>
      <c r="S98" s="128">
        <f t="shared" si="12"/>
        <v>0.87806655331552097</v>
      </c>
      <c r="T98" s="154">
        <f t="shared" si="13"/>
        <v>6973.2000000000007</v>
      </c>
      <c r="U98" s="85"/>
      <c r="V98" s="80"/>
      <c r="W98" s="77"/>
      <c r="X98" s="80"/>
      <c r="Y98" s="80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87"/>
      <c r="BL98" s="87"/>
      <c r="BM98" s="87"/>
      <c r="BN98" s="87"/>
      <c r="BO98" s="87"/>
      <c r="BP98" s="87"/>
      <c r="BQ98" s="87"/>
      <c r="BR98" s="87"/>
      <c r="BS98" s="87"/>
      <c r="BT98" s="87"/>
      <c r="BU98" s="87"/>
      <c r="BV98" s="87"/>
      <c r="BW98" s="87"/>
    </row>
    <row r="99" spans="1:75" s="107" customFormat="1" ht="18.75" hidden="1">
      <c r="A99" s="120">
        <v>101</v>
      </c>
      <c r="B99" s="106">
        <v>230</v>
      </c>
      <c r="C99" s="62">
        <v>1700.9</v>
      </c>
      <c r="D99" s="42">
        <v>376.6</v>
      </c>
      <c r="E99" s="68">
        <v>705.8</v>
      </c>
      <c r="F99" s="66">
        <f>1750.8+98.9</f>
        <v>1849.7</v>
      </c>
      <c r="G99" s="66">
        <v>174.2</v>
      </c>
      <c r="H99" s="66"/>
      <c r="I99" s="66"/>
      <c r="J99" s="98">
        <v>209</v>
      </c>
      <c r="K99" s="44">
        <f>1850.6+143.3</f>
        <v>1993.8999999999999</v>
      </c>
      <c r="L99" s="123">
        <f t="shared" si="9"/>
        <v>7010.1</v>
      </c>
      <c r="M99" s="42">
        <v>34.299999999999997</v>
      </c>
      <c r="N99" s="138">
        <f t="shared" si="10"/>
        <v>2729.7</v>
      </c>
      <c r="O99" s="125">
        <v>165.5</v>
      </c>
      <c r="P99" s="109">
        <f t="shared" si="11"/>
        <v>2895.2</v>
      </c>
      <c r="Q99" s="39">
        <f t="shared" si="7"/>
        <v>30.478999999999999</v>
      </c>
      <c r="R99" s="39">
        <f t="shared" si="8"/>
        <v>12.587826086956522</v>
      </c>
      <c r="S99" s="157">
        <f t="shared" si="12"/>
        <v>1.480641243623998</v>
      </c>
      <c r="T99" s="92">
        <f t="shared" si="13"/>
        <v>7044.4000000000005</v>
      </c>
      <c r="U99" s="85"/>
      <c r="V99" s="80"/>
      <c r="W99" s="77"/>
      <c r="X99" s="80"/>
      <c r="Y99" s="80"/>
      <c r="Z99" s="87"/>
      <c r="AA99" s="87"/>
      <c r="AB99" s="87"/>
      <c r="AC99" s="87"/>
      <c r="AD99" s="87"/>
      <c r="AE99" s="87"/>
      <c r="AF99" s="87"/>
      <c r="AG99" s="87"/>
      <c r="AH99" s="87"/>
      <c r="AI99" s="87"/>
      <c r="AJ99" s="87"/>
      <c r="AK99" s="87"/>
      <c r="AL99" s="87"/>
      <c r="AM99" s="87"/>
      <c r="AN99" s="87"/>
      <c r="AO99" s="87"/>
      <c r="AP99" s="87"/>
      <c r="AQ99" s="87"/>
      <c r="AR99" s="87"/>
      <c r="AS99" s="87"/>
      <c r="AT99" s="87"/>
      <c r="AU99" s="87"/>
      <c r="AV99" s="87"/>
      <c r="AW99" s="87"/>
      <c r="AX99" s="87"/>
      <c r="AY99" s="87"/>
      <c r="AZ99" s="87"/>
      <c r="BA99" s="87"/>
      <c r="BB99" s="87"/>
      <c r="BC99" s="87"/>
      <c r="BD99" s="87"/>
      <c r="BE99" s="87"/>
      <c r="BF99" s="87"/>
      <c r="BG99" s="87"/>
      <c r="BH99" s="87"/>
      <c r="BI99" s="87"/>
      <c r="BJ99" s="87"/>
      <c r="BK99" s="87"/>
      <c r="BL99" s="87"/>
      <c r="BM99" s="87"/>
      <c r="BN99" s="87"/>
      <c r="BO99" s="87"/>
      <c r="BP99" s="87"/>
      <c r="BQ99" s="87"/>
      <c r="BR99" s="87"/>
      <c r="BS99" s="87"/>
      <c r="BT99" s="87"/>
      <c r="BU99" s="87"/>
      <c r="BV99" s="87"/>
      <c r="BW99" s="87"/>
    </row>
    <row r="100" spans="1:75" ht="18.75" hidden="1">
      <c r="A100" s="7" t="s">
        <v>134</v>
      </c>
      <c r="B100" s="89">
        <v>192</v>
      </c>
      <c r="C100" s="62">
        <v>952.1</v>
      </c>
      <c r="D100" s="42">
        <v>210.8</v>
      </c>
      <c r="E100" s="67">
        <v>442.6</v>
      </c>
      <c r="F100" s="64">
        <v>607.1</v>
      </c>
      <c r="G100" s="64">
        <v>95.4</v>
      </c>
      <c r="H100" s="64"/>
      <c r="I100" s="64"/>
      <c r="J100" s="109">
        <v>154</v>
      </c>
      <c r="K100" s="42">
        <f>1034.4+80.1</f>
        <v>1114.5</v>
      </c>
      <c r="L100" s="123">
        <f t="shared" si="9"/>
        <v>3576.5</v>
      </c>
      <c r="M100" s="42">
        <v>33.700000000000003</v>
      </c>
      <c r="N100" s="138">
        <f t="shared" si="10"/>
        <v>1145.1000000000001</v>
      </c>
      <c r="O100" s="125">
        <v>130.9</v>
      </c>
      <c r="P100" s="109">
        <f t="shared" si="11"/>
        <v>1276.0000000000002</v>
      </c>
      <c r="Q100" s="39">
        <f t="shared" si="7"/>
        <v>18.628</v>
      </c>
      <c r="R100" s="39">
        <f t="shared" si="8"/>
        <v>6.6458333333333348</v>
      </c>
      <c r="S100" s="128">
        <f t="shared" si="12"/>
        <v>0.90493077483604567</v>
      </c>
      <c r="T100" s="92">
        <f t="shared" si="13"/>
        <v>3610.2</v>
      </c>
      <c r="U100" s="85"/>
      <c r="W100" s="77"/>
    </row>
    <row r="101" spans="1:75" ht="18.75" hidden="1">
      <c r="A101" s="7" t="s">
        <v>135</v>
      </c>
      <c r="B101" s="89">
        <v>159</v>
      </c>
      <c r="C101" s="62">
        <v>866.1</v>
      </c>
      <c r="D101" s="42">
        <v>191.8</v>
      </c>
      <c r="E101" s="67">
        <v>425.7</v>
      </c>
      <c r="F101" s="64">
        <v>350.3</v>
      </c>
      <c r="G101" s="64">
        <v>71</v>
      </c>
      <c r="H101" s="64"/>
      <c r="I101" s="64"/>
      <c r="J101" s="109">
        <v>150</v>
      </c>
      <c r="K101" s="42">
        <f>838.1+64.9</f>
        <v>903</v>
      </c>
      <c r="L101" s="123">
        <f t="shared" si="9"/>
        <v>2957.9</v>
      </c>
      <c r="M101" s="42">
        <v>25.6</v>
      </c>
      <c r="N101" s="138">
        <f t="shared" si="10"/>
        <v>847</v>
      </c>
      <c r="O101" s="125">
        <v>108.8</v>
      </c>
      <c r="P101" s="109">
        <f t="shared" si="11"/>
        <v>955.8</v>
      </c>
      <c r="Q101" s="39">
        <f t="shared" si="7"/>
        <v>18.603000000000002</v>
      </c>
      <c r="R101" s="39">
        <f t="shared" si="8"/>
        <v>6.0113207547169809</v>
      </c>
      <c r="S101" s="128">
        <f t="shared" si="12"/>
        <v>0.90371629827544331</v>
      </c>
      <c r="T101" s="92">
        <f t="shared" si="13"/>
        <v>2983.5</v>
      </c>
      <c r="U101" s="85"/>
      <c r="W101" s="77"/>
    </row>
    <row r="102" spans="1:75" s="107" customFormat="1" ht="18.75">
      <c r="A102" s="120">
        <v>148</v>
      </c>
      <c r="B102" s="106">
        <v>198</v>
      </c>
      <c r="C102" s="62">
        <v>1489.9</v>
      </c>
      <c r="D102" s="42">
        <v>329.9</v>
      </c>
      <c r="E102" s="68">
        <v>627</v>
      </c>
      <c r="F102" s="66">
        <v>711.2</v>
      </c>
      <c r="G102" s="66">
        <v>112.2</v>
      </c>
      <c r="H102" s="66"/>
      <c r="I102" s="66"/>
      <c r="J102" s="98">
        <v>217</v>
      </c>
      <c r="K102" s="44">
        <f>1045.3+81</f>
        <v>1126.3</v>
      </c>
      <c r="L102" s="123">
        <f t="shared" si="9"/>
        <v>4613.5</v>
      </c>
      <c r="M102" s="42">
        <v>60</v>
      </c>
      <c r="N102" s="138">
        <f t="shared" si="10"/>
        <v>1450.4</v>
      </c>
      <c r="O102" s="125">
        <v>159</v>
      </c>
      <c r="P102" s="109">
        <f t="shared" si="11"/>
        <v>1609.4</v>
      </c>
      <c r="Q102" s="39">
        <f t="shared" si="7"/>
        <v>23.300999999999998</v>
      </c>
      <c r="R102" s="39">
        <f t="shared" si="8"/>
        <v>8.1282828282828294</v>
      </c>
      <c r="S102" s="157">
        <f t="shared" si="12"/>
        <v>1.1319407335438425</v>
      </c>
      <c r="T102" s="92">
        <f t="shared" si="13"/>
        <v>4673.5</v>
      </c>
      <c r="U102" s="85"/>
      <c r="V102" s="80"/>
      <c r="W102" s="77"/>
      <c r="X102" s="80"/>
      <c r="Y102" s="80"/>
      <c r="Z102" s="87"/>
      <c r="AA102" s="87"/>
      <c r="AB102" s="87"/>
      <c r="AC102" s="87"/>
      <c r="AD102" s="87"/>
      <c r="AE102" s="87"/>
      <c r="AF102" s="87"/>
      <c r="AG102" s="87"/>
      <c r="AH102" s="87"/>
      <c r="AI102" s="87"/>
      <c r="AJ102" s="87"/>
      <c r="AK102" s="87"/>
      <c r="AL102" s="87"/>
      <c r="AM102" s="87"/>
      <c r="AN102" s="87"/>
      <c r="AO102" s="87"/>
      <c r="AP102" s="87"/>
      <c r="AQ102" s="87"/>
      <c r="AR102" s="87"/>
      <c r="AS102" s="87"/>
      <c r="AT102" s="87"/>
      <c r="AU102" s="87"/>
      <c r="AV102" s="87"/>
      <c r="AW102" s="87"/>
      <c r="AX102" s="87"/>
      <c r="AY102" s="87"/>
      <c r="AZ102" s="87"/>
      <c r="BA102" s="87"/>
      <c r="BB102" s="87"/>
      <c r="BC102" s="87"/>
      <c r="BD102" s="87"/>
      <c r="BE102" s="87"/>
      <c r="BF102" s="87"/>
      <c r="BG102" s="87"/>
      <c r="BH102" s="87"/>
      <c r="BI102" s="87"/>
      <c r="BJ102" s="87"/>
      <c r="BK102" s="87"/>
      <c r="BL102" s="87"/>
      <c r="BM102" s="87"/>
      <c r="BN102" s="87"/>
      <c r="BO102" s="87"/>
      <c r="BP102" s="87"/>
      <c r="BQ102" s="87"/>
      <c r="BR102" s="87"/>
      <c r="BS102" s="87"/>
      <c r="BT102" s="87"/>
      <c r="BU102" s="87"/>
      <c r="BV102" s="87"/>
      <c r="BW102" s="87"/>
    </row>
    <row r="103" spans="1:75" ht="18.75" hidden="1">
      <c r="A103" s="7" t="s">
        <v>136</v>
      </c>
      <c r="B103" s="89">
        <v>325</v>
      </c>
      <c r="C103" s="62">
        <v>1256.9000000000001</v>
      </c>
      <c r="D103" s="42">
        <v>278.3</v>
      </c>
      <c r="E103" s="67">
        <v>406</v>
      </c>
      <c r="F103" s="64">
        <f>740.7+95.1</f>
        <v>835.80000000000007</v>
      </c>
      <c r="G103" s="64">
        <v>105.9</v>
      </c>
      <c r="H103" s="64"/>
      <c r="I103" s="64"/>
      <c r="J103" s="109">
        <v>177</v>
      </c>
      <c r="K103" s="42">
        <f>1327.1+102.8</f>
        <v>1429.8999999999999</v>
      </c>
      <c r="L103" s="123">
        <f t="shared" si="9"/>
        <v>4489.8</v>
      </c>
      <c r="M103" s="42">
        <v>57.3</v>
      </c>
      <c r="N103" s="138">
        <f t="shared" si="10"/>
        <v>1347.7000000000003</v>
      </c>
      <c r="O103" s="125">
        <v>96.2</v>
      </c>
      <c r="P103" s="109">
        <f t="shared" si="11"/>
        <v>1443.9000000000003</v>
      </c>
      <c r="Q103" s="39">
        <f t="shared" si="7"/>
        <v>13.815</v>
      </c>
      <c r="R103" s="39">
        <f t="shared" si="8"/>
        <v>4.4427692307692315</v>
      </c>
      <c r="S103" s="128">
        <f t="shared" si="12"/>
        <v>0.67111974738887537</v>
      </c>
      <c r="T103" s="92">
        <f t="shared" si="13"/>
        <v>4547.1000000000004</v>
      </c>
      <c r="U103" s="85"/>
      <c r="W103" s="77"/>
    </row>
    <row r="104" spans="1:75" ht="18.75" hidden="1">
      <c r="A104" s="7" t="s">
        <v>137</v>
      </c>
      <c r="B104" s="89">
        <v>353</v>
      </c>
      <c r="C104" s="62">
        <v>1335.1</v>
      </c>
      <c r="D104" s="42">
        <v>295.60000000000002</v>
      </c>
      <c r="E104" s="67">
        <v>545.70000000000005</v>
      </c>
      <c r="F104" s="64">
        <f>1145.2+145.7</f>
        <v>1290.9000000000001</v>
      </c>
      <c r="G104" s="64">
        <v>220</v>
      </c>
      <c r="H104" s="64"/>
      <c r="I104" s="64"/>
      <c r="J104" s="109">
        <v>199</v>
      </c>
      <c r="K104" s="42">
        <f>1543.3+119.5</f>
        <v>1662.8</v>
      </c>
      <c r="L104" s="123">
        <f t="shared" si="9"/>
        <v>5549.1</v>
      </c>
      <c r="M104" s="42">
        <v>201.9</v>
      </c>
      <c r="N104" s="138">
        <f t="shared" si="10"/>
        <v>2056.6000000000004</v>
      </c>
      <c r="O104" s="125">
        <v>120.5</v>
      </c>
      <c r="P104" s="109">
        <f t="shared" si="11"/>
        <v>2177.1000000000004</v>
      </c>
      <c r="Q104" s="39">
        <f t="shared" si="7"/>
        <v>15.72</v>
      </c>
      <c r="R104" s="39">
        <f t="shared" si="8"/>
        <v>6.1674220963172814</v>
      </c>
      <c r="S104" s="128">
        <f t="shared" si="12"/>
        <v>0.76366286130677674</v>
      </c>
      <c r="T104" s="92">
        <f t="shared" si="13"/>
        <v>5751</v>
      </c>
      <c r="U104" s="85"/>
      <c r="W104" s="77"/>
    </row>
    <row r="105" spans="1:75" ht="18.75" hidden="1">
      <c r="A105" s="7" t="s">
        <v>138</v>
      </c>
      <c r="B105" s="89">
        <v>146</v>
      </c>
      <c r="C105" s="62">
        <v>866.1</v>
      </c>
      <c r="D105" s="42">
        <v>191.8</v>
      </c>
      <c r="E105" s="67">
        <v>288.2</v>
      </c>
      <c r="F105" s="64">
        <v>747.8</v>
      </c>
      <c r="G105" s="64">
        <v>61.3</v>
      </c>
      <c r="H105" s="64"/>
      <c r="I105" s="64"/>
      <c r="J105" s="109">
        <v>150</v>
      </c>
      <c r="K105" s="42">
        <f>692.6+53.6</f>
        <v>746.2</v>
      </c>
      <c r="L105" s="123">
        <f t="shared" si="9"/>
        <v>3051.4</v>
      </c>
      <c r="M105" s="42">
        <v>28.8</v>
      </c>
      <c r="N105" s="138">
        <f t="shared" si="10"/>
        <v>1097.3</v>
      </c>
      <c r="O105" s="125">
        <v>126.8</v>
      </c>
      <c r="P105" s="109">
        <f t="shared" si="11"/>
        <v>1224.0999999999999</v>
      </c>
      <c r="Q105" s="39">
        <f t="shared" si="7"/>
        <v>20.9</v>
      </c>
      <c r="R105" s="39">
        <f t="shared" si="8"/>
        <v>8.3842465753424644</v>
      </c>
      <c r="S105" s="157">
        <f t="shared" si="12"/>
        <v>1.0153024046635899</v>
      </c>
      <c r="T105" s="92">
        <f t="shared" si="13"/>
        <v>3080.2000000000003</v>
      </c>
      <c r="U105" s="85"/>
      <c r="W105" s="77"/>
    </row>
    <row r="106" spans="1:75" ht="18.75" hidden="1">
      <c r="A106" s="7" t="s">
        <v>139</v>
      </c>
      <c r="B106" s="89">
        <v>399</v>
      </c>
      <c r="C106" s="62">
        <v>1358.6</v>
      </c>
      <c r="D106" s="42">
        <v>300.8</v>
      </c>
      <c r="E106" s="67">
        <v>589.4</v>
      </c>
      <c r="F106" s="64">
        <f>1299.6+169</f>
        <v>1468.6</v>
      </c>
      <c r="G106" s="64">
        <v>183.9</v>
      </c>
      <c r="H106" s="64"/>
      <c r="I106" s="64"/>
      <c r="J106" s="109">
        <v>199</v>
      </c>
      <c r="K106" s="42">
        <f>1621.6+125.6</f>
        <v>1747.1999999999998</v>
      </c>
      <c r="L106" s="123">
        <f t="shared" si="9"/>
        <v>5847.5</v>
      </c>
      <c r="M106" s="42">
        <v>44.9</v>
      </c>
      <c r="N106" s="138">
        <f t="shared" si="10"/>
        <v>2241.9</v>
      </c>
      <c r="O106" s="125">
        <v>118.3</v>
      </c>
      <c r="P106" s="109">
        <f t="shared" si="11"/>
        <v>2360.2000000000003</v>
      </c>
      <c r="Q106" s="39">
        <f t="shared" si="7"/>
        <v>14.654999999999999</v>
      </c>
      <c r="R106" s="39">
        <f t="shared" si="8"/>
        <v>5.9152882205513793</v>
      </c>
      <c r="S106" s="128">
        <f t="shared" si="12"/>
        <v>0.71192615982511531</v>
      </c>
      <c r="T106" s="92">
        <f t="shared" si="13"/>
        <v>5892.4</v>
      </c>
      <c r="U106" s="85"/>
      <c r="W106" s="77"/>
    </row>
    <row r="107" spans="1:75" ht="18.75" hidden="1">
      <c r="A107" s="7" t="s">
        <v>140</v>
      </c>
      <c r="B107" s="89">
        <v>224</v>
      </c>
      <c r="C107" s="62">
        <v>1077.2</v>
      </c>
      <c r="D107" s="42">
        <v>238.5</v>
      </c>
      <c r="E107" s="67">
        <v>334</v>
      </c>
      <c r="F107" s="64">
        <v>877.1</v>
      </c>
      <c r="G107" s="64">
        <v>76.400000000000006</v>
      </c>
      <c r="H107" s="64"/>
      <c r="I107" s="64"/>
      <c r="J107" s="109">
        <v>154</v>
      </c>
      <c r="K107" s="42">
        <f>1047.1+81.1</f>
        <v>1128.1999999999998</v>
      </c>
      <c r="L107" s="123">
        <f t="shared" si="9"/>
        <v>3885.4</v>
      </c>
      <c r="M107" s="42">
        <v>33</v>
      </c>
      <c r="N107" s="138">
        <f t="shared" si="10"/>
        <v>1287.5</v>
      </c>
      <c r="O107" s="125">
        <v>111.6</v>
      </c>
      <c r="P107" s="109">
        <f t="shared" si="11"/>
        <v>1399.1</v>
      </c>
      <c r="Q107" s="39">
        <f t="shared" si="7"/>
        <v>17.346</v>
      </c>
      <c r="R107" s="39">
        <f t="shared" si="8"/>
        <v>6.2459821428571427</v>
      </c>
      <c r="S107" s="128">
        <f t="shared" si="12"/>
        <v>0.84265241680835556</v>
      </c>
      <c r="T107" s="92">
        <f t="shared" si="13"/>
        <v>3918.4</v>
      </c>
      <c r="U107" s="85"/>
      <c r="W107" s="77"/>
    </row>
    <row r="108" spans="1:75" ht="18.75" hidden="1">
      <c r="A108" s="7" t="s">
        <v>141</v>
      </c>
      <c r="B108" s="89">
        <v>374</v>
      </c>
      <c r="C108" s="62">
        <v>1358.6</v>
      </c>
      <c r="D108" s="42">
        <v>300.8</v>
      </c>
      <c r="E108" s="67">
        <v>517.29999999999995</v>
      </c>
      <c r="F108" s="64">
        <f>1218.3+159.3</f>
        <v>1377.6</v>
      </c>
      <c r="G108" s="64">
        <v>160.9</v>
      </c>
      <c r="H108" s="64"/>
      <c r="I108" s="64"/>
      <c r="J108" s="109">
        <v>199</v>
      </c>
      <c r="K108" s="42">
        <f>1592.4+123.4</f>
        <v>1715.8000000000002</v>
      </c>
      <c r="L108" s="123">
        <f t="shared" si="9"/>
        <v>5630</v>
      </c>
      <c r="M108" s="42">
        <v>53</v>
      </c>
      <c r="N108" s="138">
        <f t="shared" si="10"/>
        <v>2055.7999999999997</v>
      </c>
      <c r="O108" s="125">
        <v>134.9</v>
      </c>
      <c r="P108" s="109">
        <f t="shared" si="11"/>
        <v>2190.6999999999998</v>
      </c>
      <c r="Q108" s="39">
        <f t="shared" si="7"/>
        <v>15.053000000000001</v>
      </c>
      <c r="R108" s="39">
        <f t="shared" si="8"/>
        <v>5.8574866310160427</v>
      </c>
      <c r="S108" s="128">
        <f t="shared" si="12"/>
        <v>0.73126062666990532</v>
      </c>
      <c r="T108" s="92">
        <f t="shared" si="13"/>
        <v>5683</v>
      </c>
      <c r="U108" s="85"/>
      <c r="W108" s="77"/>
    </row>
    <row r="109" spans="1:75" ht="18.75" hidden="1">
      <c r="A109" s="7" t="s">
        <v>142</v>
      </c>
      <c r="B109" s="89">
        <v>177</v>
      </c>
      <c r="C109" s="62">
        <v>879.6</v>
      </c>
      <c r="D109" s="42">
        <v>194.8</v>
      </c>
      <c r="E109" s="67">
        <v>479</v>
      </c>
      <c r="F109" s="64">
        <v>696</v>
      </c>
      <c r="G109" s="64">
        <v>94.9</v>
      </c>
      <c r="H109" s="64"/>
      <c r="I109" s="64"/>
      <c r="J109" s="109">
        <v>150</v>
      </c>
      <c r="K109" s="42">
        <f>865.3+67</f>
        <v>932.3</v>
      </c>
      <c r="L109" s="123">
        <f t="shared" si="9"/>
        <v>3426.6</v>
      </c>
      <c r="M109" s="42">
        <v>75</v>
      </c>
      <c r="N109" s="138">
        <f t="shared" si="10"/>
        <v>1269.9000000000001</v>
      </c>
      <c r="O109" s="125">
        <v>94.3</v>
      </c>
      <c r="P109" s="109">
        <f t="shared" si="11"/>
        <v>1364.2</v>
      </c>
      <c r="Q109" s="39">
        <f t="shared" si="7"/>
        <v>19.359000000000002</v>
      </c>
      <c r="R109" s="39">
        <f t="shared" si="8"/>
        <v>7.7073446327683621</v>
      </c>
      <c r="S109" s="128">
        <f t="shared" si="12"/>
        <v>0.94044206946805931</v>
      </c>
      <c r="T109" s="92">
        <f t="shared" si="13"/>
        <v>3501.6</v>
      </c>
      <c r="U109" s="85"/>
      <c r="W109" s="77"/>
    </row>
    <row r="110" spans="1:75" ht="18.75" hidden="1">
      <c r="A110" s="7" t="s">
        <v>143</v>
      </c>
      <c r="B110" s="89">
        <v>390</v>
      </c>
      <c r="C110" s="62">
        <v>1499.3</v>
      </c>
      <c r="D110" s="42">
        <v>332</v>
      </c>
      <c r="E110" s="67">
        <v>780.3</v>
      </c>
      <c r="F110" s="64">
        <v>1536.8</v>
      </c>
      <c r="G110" s="64">
        <v>185.9</v>
      </c>
      <c r="H110" s="64"/>
      <c r="I110" s="64"/>
      <c r="J110" s="109">
        <v>219</v>
      </c>
      <c r="K110" s="42">
        <f>1856.1+143.7</f>
        <v>1999.8</v>
      </c>
      <c r="L110" s="123">
        <f t="shared" si="9"/>
        <v>6553.1</v>
      </c>
      <c r="M110" s="42">
        <v>49.3</v>
      </c>
      <c r="N110" s="138">
        <f t="shared" si="10"/>
        <v>2503</v>
      </c>
      <c r="O110" s="125">
        <v>134.69999999999999</v>
      </c>
      <c r="P110" s="109">
        <f t="shared" si="11"/>
        <v>2637.7</v>
      </c>
      <c r="Q110" s="155">
        <f t="shared" si="7"/>
        <v>16.803000000000001</v>
      </c>
      <c r="R110" s="39">
        <f t="shared" si="8"/>
        <v>6.7633333333333328</v>
      </c>
      <c r="S110" s="128">
        <f t="shared" si="12"/>
        <v>0.8162739859120719</v>
      </c>
      <c r="T110" s="154">
        <f t="shared" si="13"/>
        <v>6602.4000000000005</v>
      </c>
      <c r="U110" s="85"/>
      <c r="W110" s="77"/>
    </row>
    <row r="111" spans="1:75" ht="18.75">
      <c r="A111" s="7" t="s">
        <v>144</v>
      </c>
      <c r="B111" s="89">
        <v>312</v>
      </c>
      <c r="C111" s="42">
        <v>1669.7</v>
      </c>
      <c r="D111" s="42">
        <v>369.7</v>
      </c>
      <c r="E111" s="67">
        <v>1105.9000000000001</v>
      </c>
      <c r="F111" s="64">
        <v>815.3</v>
      </c>
      <c r="G111" s="64">
        <v>143.6</v>
      </c>
      <c r="H111" s="64"/>
      <c r="I111" s="64"/>
      <c r="J111" s="109">
        <v>217</v>
      </c>
      <c r="K111" s="42">
        <f>1450.7+112.4</f>
        <v>1563.1000000000001</v>
      </c>
      <c r="L111" s="123">
        <f t="shared" si="9"/>
        <v>5884.3</v>
      </c>
      <c r="M111" s="42">
        <v>70.7</v>
      </c>
      <c r="N111" s="138">
        <f t="shared" si="10"/>
        <v>2064.8000000000002</v>
      </c>
      <c r="O111" s="125">
        <v>163.6</v>
      </c>
      <c r="P111" s="109">
        <f t="shared" si="11"/>
        <v>2228.4</v>
      </c>
      <c r="Q111" s="39">
        <f t="shared" si="7"/>
        <v>18.86</v>
      </c>
      <c r="R111" s="39">
        <f t="shared" si="8"/>
        <v>7.1423076923076927</v>
      </c>
      <c r="S111" s="128">
        <f t="shared" si="12"/>
        <v>0.91620111731843568</v>
      </c>
      <c r="T111" s="92">
        <f t="shared" si="13"/>
        <v>5955</v>
      </c>
      <c r="U111" s="85"/>
      <c r="W111" s="77"/>
    </row>
    <row r="112" spans="1:75" s="107" customFormat="1" ht="18.75" hidden="1">
      <c r="A112" s="120">
        <v>194</v>
      </c>
      <c r="B112" s="106">
        <v>136</v>
      </c>
      <c r="C112" s="42">
        <v>803.6</v>
      </c>
      <c r="D112" s="42">
        <v>177.9</v>
      </c>
      <c r="E112" s="68">
        <v>465</v>
      </c>
      <c r="F112" s="66">
        <v>468.3</v>
      </c>
      <c r="G112" s="66">
        <v>84.3</v>
      </c>
      <c r="H112" s="66"/>
      <c r="I112" s="66"/>
      <c r="J112" s="98">
        <v>150</v>
      </c>
      <c r="K112" s="44">
        <f>1103.5+85.5</f>
        <v>1189</v>
      </c>
      <c r="L112" s="123">
        <f t="shared" si="9"/>
        <v>3338.1</v>
      </c>
      <c r="M112" s="42">
        <v>22.9</v>
      </c>
      <c r="N112" s="138">
        <f t="shared" si="10"/>
        <v>1017.5999999999999</v>
      </c>
      <c r="O112" s="125">
        <v>119.3</v>
      </c>
      <c r="P112" s="109">
        <f t="shared" si="11"/>
        <v>1136.8999999999999</v>
      </c>
      <c r="Q112" s="39">
        <f t="shared" si="7"/>
        <v>24.545000000000002</v>
      </c>
      <c r="R112" s="39">
        <f t="shared" si="8"/>
        <v>8.3595588235294116</v>
      </c>
      <c r="S112" s="157">
        <f t="shared" si="12"/>
        <v>1.1923730871994171</v>
      </c>
      <c r="T112" s="92">
        <f t="shared" si="13"/>
        <v>3361</v>
      </c>
      <c r="U112" s="85"/>
      <c r="V112" s="80"/>
      <c r="W112" s="77"/>
      <c r="X112" s="80"/>
      <c r="Y112" s="80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7"/>
      <c r="BQ112" s="87"/>
      <c r="BR112" s="87"/>
      <c r="BS112" s="87"/>
      <c r="BT112" s="87"/>
      <c r="BU112" s="87"/>
      <c r="BV112" s="87"/>
      <c r="BW112" s="87"/>
    </row>
    <row r="113" spans="1:75" ht="18.75" hidden="1">
      <c r="A113" s="7" t="s">
        <v>145</v>
      </c>
      <c r="B113" s="89">
        <v>380</v>
      </c>
      <c r="C113" s="42">
        <v>1546.2</v>
      </c>
      <c r="D113" s="42">
        <v>342.3</v>
      </c>
      <c r="E113" s="67">
        <v>635.29999999999995</v>
      </c>
      <c r="F113" s="64">
        <f>1242.9+169</f>
        <v>1411.9</v>
      </c>
      <c r="G113" s="64">
        <v>226.6</v>
      </c>
      <c r="H113" s="64"/>
      <c r="I113" s="64"/>
      <c r="J113" s="109">
        <v>219</v>
      </c>
      <c r="K113" s="42">
        <f>1723.3+133.5</f>
        <v>1856.8</v>
      </c>
      <c r="L113" s="123">
        <f t="shared" si="9"/>
        <v>6238.1</v>
      </c>
      <c r="M113" s="42">
        <v>49.2</v>
      </c>
      <c r="N113" s="138">
        <f t="shared" si="10"/>
        <v>2273.8000000000002</v>
      </c>
      <c r="O113" s="125">
        <v>132.6</v>
      </c>
      <c r="P113" s="109">
        <f t="shared" si="11"/>
        <v>2406.4</v>
      </c>
      <c r="Q113" s="155">
        <f t="shared" si="7"/>
        <v>16.416</v>
      </c>
      <c r="R113" s="39">
        <f t="shared" si="8"/>
        <v>6.3326315789473684</v>
      </c>
      <c r="S113" s="128">
        <f t="shared" si="12"/>
        <v>0.79747388875394698</v>
      </c>
      <c r="T113" s="154">
        <f t="shared" si="13"/>
        <v>6287.3</v>
      </c>
      <c r="U113" s="85"/>
      <c r="W113" s="77"/>
    </row>
    <row r="114" spans="1:75" s="107" customFormat="1" ht="18.75" hidden="1">
      <c r="A114" s="120">
        <v>209</v>
      </c>
      <c r="B114" s="106">
        <v>317</v>
      </c>
      <c r="C114" s="42">
        <v>1546.2</v>
      </c>
      <c r="D114" s="42">
        <v>342.3</v>
      </c>
      <c r="E114" s="68">
        <v>813.1</v>
      </c>
      <c r="F114" s="66">
        <f>1642.5+175.8</f>
        <v>1818.3</v>
      </c>
      <c r="G114" s="66">
        <v>227.7</v>
      </c>
      <c r="H114" s="66"/>
      <c r="I114" s="66"/>
      <c r="J114" s="98">
        <v>219</v>
      </c>
      <c r="K114" s="44">
        <f>1794.3+139</f>
        <v>1933.3</v>
      </c>
      <c r="L114" s="123">
        <f t="shared" si="9"/>
        <v>6899.9</v>
      </c>
      <c r="M114" s="42">
        <v>57.5</v>
      </c>
      <c r="N114" s="138">
        <f t="shared" si="10"/>
        <v>2859.1</v>
      </c>
      <c r="O114" s="125">
        <v>163.1</v>
      </c>
      <c r="P114" s="109">
        <f t="shared" si="11"/>
        <v>3022.2</v>
      </c>
      <c r="Q114" s="155">
        <f t="shared" si="7"/>
        <v>21.765999999999998</v>
      </c>
      <c r="R114" s="39">
        <f t="shared" si="8"/>
        <v>9.5337539432176648</v>
      </c>
      <c r="S114" s="157">
        <f t="shared" si="12"/>
        <v>1.0573718727228563</v>
      </c>
      <c r="T114" s="154">
        <f t="shared" si="13"/>
        <v>6957.4</v>
      </c>
      <c r="U114" s="85"/>
      <c r="V114" s="80"/>
      <c r="W114" s="77"/>
      <c r="X114" s="80"/>
      <c r="Y114" s="80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  <c r="BV114" s="87"/>
      <c r="BW114" s="87"/>
    </row>
    <row r="115" spans="1:75" s="107" customFormat="1" ht="18.75" hidden="1">
      <c r="A115" s="120">
        <v>210</v>
      </c>
      <c r="B115" s="106">
        <v>159</v>
      </c>
      <c r="C115" s="42">
        <v>1053.7</v>
      </c>
      <c r="D115" s="42">
        <v>233.3</v>
      </c>
      <c r="E115" s="68">
        <v>537.1</v>
      </c>
      <c r="F115" s="66">
        <f>1175.7</f>
        <v>1175.7</v>
      </c>
      <c r="G115" s="66">
        <v>92.8</v>
      </c>
      <c r="H115" s="66"/>
      <c r="I115" s="66"/>
      <c r="J115" s="98">
        <v>174</v>
      </c>
      <c r="K115" s="44">
        <f>869.1+67.3</f>
        <v>936.4</v>
      </c>
      <c r="L115" s="123">
        <f t="shared" si="9"/>
        <v>4203</v>
      </c>
      <c r="M115" s="42">
        <v>53.7</v>
      </c>
      <c r="N115" s="138">
        <f t="shared" si="10"/>
        <v>1805.6000000000001</v>
      </c>
      <c r="O115" s="125">
        <v>110</v>
      </c>
      <c r="P115" s="109">
        <f t="shared" si="11"/>
        <v>1915.6000000000001</v>
      </c>
      <c r="Q115" s="155">
        <f t="shared" si="7"/>
        <v>26.434000000000001</v>
      </c>
      <c r="R115" s="39">
        <f t="shared" si="8"/>
        <v>12.047798742138365</v>
      </c>
      <c r="S115" s="157">
        <f t="shared" si="12"/>
        <v>1.2841389361185329</v>
      </c>
      <c r="T115" s="154">
        <f t="shared" si="13"/>
        <v>4256.7</v>
      </c>
      <c r="U115" s="85"/>
      <c r="V115" s="80"/>
      <c r="W115" s="77"/>
      <c r="X115" s="80"/>
      <c r="Y115" s="80"/>
      <c r="Z115" s="87"/>
      <c r="AA115" s="87"/>
      <c r="AB115" s="87"/>
      <c r="AC115" s="87"/>
      <c r="AD115" s="87"/>
      <c r="AE115" s="87"/>
      <c r="AF115" s="87"/>
      <c r="AG115" s="87"/>
      <c r="AH115" s="87"/>
      <c r="AI115" s="87"/>
      <c r="AJ115" s="87"/>
      <c r="AK115" s="87"/>
      <c r="AL115" s="87"/>
      <c r="AM115" s="87"/>
      <c r="AN115" s="87"/>
      <c r="AO115" s="87"/>
      <c r="AP115" s="87"/>
      <c r="AQ115" s="87"/>
      <c r="AR115" s="87"/>
      <c r="AS115" s="87"/>
      <c r="AT115" s="87"/>
      <c r="AU115" s="87"/>
      <c r="AV115" s="87"/>
      <c r="AW115" s="87"/>
      <c r="AX115" s="87"/>
      <c r="AY115" s="87"/>
      <c r="AZ115" s="87"/>
      <c r="BA115" s="87"/>
      <c r="BB115" s="87"/>
      <c r="BC115" s="87"/>
      <c r="BD115" s="87"/>
      <c r="BE115" s="87"/>
      <c r="BF115" s="87"/>
      <c r="BG115" s="87"/>
      <c r="BH115" s="87"/>
      <c r="BI115" s="87"/>
      <c r="BJ115" s="87"/>
      <c r="BK115" s="87"/>
      <c r="BL115" s="87"/>
      <c r="BM115" s="87"/>
      <c r="BN115" s="87"/>
      <c r="BO115" s="87"/>
      <c r="BP115" s="87"/>
      <c r="BQ115" s="87"/>
      <c r="BR115" s="87"/>
      <c r="BS115" s="87"/>
      <c r="BT115" s="87"/>
      <c r="BU115" s="87"/>
      <c r="BV115" s="87"/>
      <c r="BW115" s="87"/>
    </row>
    <row r="116" spans="1:75" ht="18.75" hidden="1">
      <c r="A116" s="7" t="s">
        <v>146</v>
      </c>
      <c r="B116" s="89">
        <v>199</v>
      </c>
      <c r="C116" s="42">
        <v>959.9</v>
      </c>
      <c r="D116" s="42">
        <v>212.5</v>
      </c>
      <c r="E116" s="67">
        <v>425.7</v>
      </c>
      <c r="F116" s="64">
        <v>827.5</v>
      </c>
      <c r="G116" s="64">
        <v>89.2</v>
      </c>
      <c r="H116" s="64"/>
      <c r="I116" s="64"/>
      <c r="J116" s="109">
        <v>154</v>
      </c>
      <c r="K116" s="42">
        <f>1001.6+77.6</f>
        <v>1079.2</v>
      </c>
      <c r="L116" s="123">
        <f t="shared" si="9"/>
        <v>3748</v>
      </c>
      <c r="M116" s="42">
        <v>30.1</v>
      </c>
      <c r="N116" s="138">
        <f t="shared" si="10"/>
        <v>1342.4</v>
      </c>
      <c r="O116" s="125">
        <v>123.9</v>
      </c>
      <c r="P116" s="109">
        <f t="shared" si="11"/>
        <v>1466.3000000000002</v>
      </c>
      <c r="Q116" s="39">
        <f t="shared" si="7"/>
        <v>18.834</v>
      </c>
      <c r="R116" s="39">
        <f t="shared" si="8"/>
        <v>7.3683417085427143</v>
      </c>
      <c r="S116" s="128">
        <f t="shared" si="12"/>
        <v>0.91493806169540925</v>
      </c>
      <c r="T116" s="92">
        <f t="shared" si="13"/>
        <v>3778.1</v>
      </c>
      <c r="U116" s="85"/>
      <c r="W116" s="77"/>
    </row>
    <row r="117" spans="1:75" ht="18.75" hidden="1">
      <c r="A117" s="7" t="s">
        <v>147</v>
      </c>
      <c r="B117" s="89">
        <v>367</v>
      </c>
      <c r="C117" s="42">
        <v>1475.8</v>
      </c>
      <c r="D117" s="42">
        <v>326.8</v>
      </c>
      <c r="E117" s="67">
        <v>615.6</v>
      </c>
      <c r="F117" s="64">
        <f>1601.4+194.8</f>
        <v>1796.2</v>
      </c>
      <c r="G117" s="64">
        <v>303.89999999999998</v>
      </c>
      <c r="H117" s="64"/>
      <c r="I117" s="64"/>
      <c r="J117" s="109">
        <v>207</v>
      </c>
      <c r="K117" s="42">
        <f>1458+112.9</f>
        <v>1570.9</v>
      </c>
      <c r="L117" s="123">
        <f t="shared" si="9"/>
        <v>6296.2</v>
      </c>
      <c r="M117" s="42">
        <v>118</v>
      </c>
      <c r="N117" s="138">
        <f t="shared" si="10"/>
        <v>2715.7000000000003</v>
      </c>
      <c r="O117" s="125">
        <v>171.3</v>
      </c>
      <c r="P117" s="109">
        <f t="shared" si="11"/>
        <v>2887.0000000000005</v>
      </c>
      <c r="Q117" s="155">
        <f t="shared" si="7"/>
        <v>17.155999999999999</v>
      </c>
      <c r="R117" s="39">
        <f t="shared" si="8"/>
        <v>7.8664850136239792</v>
      </c>
      <c r="S117" s="128">
        <f t="shared" si="12"/>
        <v>0.83342239494777737</v>
      </c>
      <c r="T117" s="154">
        <f t="shared" si="13"/>
        <v>6414.2</v>
      </c>
      <c r="U117" s="85"/>
      <c r="W117" s="77"/>
    </row>
    <row r="118" spans="1:75" ht="18.75" hidden="1">
      <c r="A118" s="7" t="s">
        <v>148</v>
      </c>
      <c r="B118" s="89">
        <v>446</v>
      </c>
      <c r="C118" s="42">
        <v>1522.7</v>
      </c>
      <c r="D118" s="42">
        <v>337.1</v>
      </c>
      <c r="E118" s="67">
        <v>895.9</v>
      </c>
      <c r="F118" s="64">
        <f>1579.3+204.5</f>
        <v>1783.8</v>
      </c>
      <c r="G118" s="64">
        <v>397.5</v>
      </c>
      <c r="H118" s="64"/>
      <c r="I118" s="64"/>
      <c r="J118" s="109">
        <v>219</v>
      </c>
      <c r="K118" s="42">
        <f>2165.1+167.7</f>
        <v>2332.7999999999997</v>
      </c>
      <c r="L118" s="123">
        <f t="shared" si="9"/>
        <v>7488.8</v>
      </c>
      <c r="M118" s="42">
        <v>47.4</v>
      </c>
      <c r="N118" s="138">
        <f t="shared" si="10"/>
        <v>3077.2</v>
      </c>
      <c r="O118" s="125">
        <v>169.1</v>
      </c>
      <c r="P118" s="109">
        <f t="shared" si="11"/>
        <v>3246.2999999999997</v>
      </c>
      <c r="Q118" s="155">
        <f t="shared" si="7"/>
        <v>16.791</v>
      </c>
      <c r="R118" s="39">
        <f t="shared" si="8"/>
        <v>7.2786995515695061</v>
      </c>
      <c r="S118" s="128">
        <f t="shared" si="12"/>
        <v>0.81569103716298275</v>
      </c>
      <c r="T118" s="154">
        <f t="shared" si="13"/>
        <v>7536.2</v>
      </c>
      <c r="U118" s="85"/>
      <c r="W118" s="77"/>
    </row>
    <row r="119" spans="1:75" ht="18.75" hidden="1">
      <c r="A119" s="7" t="s">
        <v>149</v>
      </c>
      <c r="B119" s="89">
        <v>400</v>
      </c>
      <c r="C119" s="42">
        <v>1569.6</v>
      </c>
      <c r="D119" s="42">
        <v>347.5</v>
      </c>
      <c r="E119" s="67">
        <v>609</v>
      </c>
      <c r="F119" s="64">
        <f>1216.9+143.1</f>
        <v>1360</v>
      </c>
      <c r="G119" s="64">
        <v>355</v>
      </c>
      <c r="H119" s="64"/>
      <c r="I119" s="64"/>
      <c r="J119" s="109">
        <v>219</v>
      </c>
      <c r="K119" s="42">
        <f>1854.3+143.6</f>
        <v>1997.8999999999999</v>
      </c>
      <c r="L119" s="123">
        <f t="shared" si="9"/>
        <v>6458</v>
      </c>
      <c r="M119" s="42">
        <v>55.2</v>
      </c>
      <c r="N119" s="138">
        <f t="shared" si="10"/>
        <v>2324</v>
      </c>
      <c r="O119" s="125">
        <v>139.19999999999999</v>
      </c>
      <c r="P119" s="109">
        <f t="shared" si="11"/>
        <v>2463.1999999999998</v>
      </c>
      <c r="Q119" s="155">
        <f t="shared" si="7"/>
        <v>16.145</v>
      </c>
      <c r="R119" s="39">
        <f t="shared" si="8"/>
        <v>6.1579999999999995</v>
      </c>
      <c r="S119" s="128">
        <f t="shared" si="12"/>
        <v>0.78430896283701723</v>
      </c>
      <c r="T119" s="154">
        <f t="shared" si="13"/>
        <v>6513.2</v>
      </c>
      <c r="U119" s="85"/>
      <c r="W119" s="77"/>
    </row>
    <row r="120" spans="1:75" ht="18.75" hidden="1">
      <c r="A120" s="7" t="s">
        <v>150</v>
      </c>
      <c r="B120" s="89">
        <v>448</v>
      </c>
      <c r="C120" s="42">
        <v>1577.4</v>
      </c>
      <c r="D120" s="42">
        <v>349.3</v>
      </c>
      <c r="E120" s="67">
        <v>1140.2</v>
      </c>
      <c r="F120" s="64">
        <v>1814.7</v>
      </c>
      <c r="G120" s="64">
        <v>247.2</v>
      </c>
      <c r="H120" s="64"/>
      <c r="I120" s="64"/>
      <c r="J120" s="109">
        <v>219</v>
      </c>
      <c r="K120" s="42">
        <f>1956.1+151.4</f>
        <v>2107.5</v>
      </c>
      <c r="L120" s="123">
        <f t="shared" si="9"/>
        <v>7455.3</v>
      </c>
      <c r="M120" s="42">
        <v>39.6</v>
      </c>
      <c r="N120" s="138">
        <f t="shared" si="10"/>
        <v>3202.1</v>
      </c>
      <c r="O120" s="125">
        <v>135.19999999999999</v>
      </c>
      <c r="P120" s="109">
        <f t="shared" si="11"/>
        <v>3337.2999999999997</v>
      </c>
      <c r="Q120" s="155">
        <f t="shared" si="7"/>
        <v>16.640999999999998</v>
      </c>
      <c r="R120" s="39">
        <f t="shared" si="8"/>
        <v>7.4493303571428564</v>
      </c>
      <c r="S120" s="128">
        <f t="shared" si="12"/>
        <v>0.80840417779936835</v>
      </c>
      <c r="T120" s="154">
        <f t="shared" si="13"/>
        <v>7494.9000000000005</v>
      </c>
      <c r="U120" s="85"/>
      <c r="W120" s="77"/>
    </row>
    <row r="121" spans="1:75" ht="18.75" hidden="1">
      <c r="A121" s="7" t="s">
        <v>151</v>
      </c>
      <c r="B121" s="89">
        <v>366</v>
      </c>
      <c r="C121" s="42">
        <v>1358.6</v>
      </c>
      <c r="D121" s="42">
        <v>300.8</v>
      </c>
      <c r="E121" s="67">
        <v>540.29999999999995</v>
      </c>
      <c r="F121" s="64">
        <f>1163.3+149.8</f>
        <v>1313.1</v>
      </c>
      <c r="G121" s="64">
        <v>189.4</v>
      </c>
      <c r="H121" s="64"/>
      <c r="I121" s="64"/>
      <c r="J121" s="109">
        <v>199</v>
      </c>
      <c r="K121" s="42">
        <f>1843.4+142.7</f>
        <v>1986.1000000000001</v>
      </c>
      <c r="L121" s="123">
        <f t="shared" si="9"/>
        <v>5887.3</v>
      </c>
      <c r="M121" s="42">
        <v>33.4</v>
      </c>
      <c r="N121" s="138">
        <f t="shared" si="10"/>
        <v>2042.8</v>
      </c>
      <c r="O121" s="125">
        <v>135.4</v>
      </c>
      <c r="P121" s="109">
        <f t="shared" si="11"/>
        <v>2178.1999999999998</v>
      </c>
      <c r="Q121" s="39">
        <f t="shared" si="7"/>
        <v>16.085999999999999</v>
      </c>
      <c r="R121" s="39">
        <f t="shared" si="8"/>
        <v>5.9513661202185784</v>
      </c>
      <c r="S121" s="128">
        <f t="shared" si="12"/>
        <v>0.78144279815399553</v>
      </c>
      <c r="T121" s="92">
        <f t="shared" si="13"/>
        <v>5920.7</v>
      </c>
      <c r="U121" s="85"/>
      <c r="W121" s="77"/>
    </row>
    <row r="122" spans="1:75" ht="18.75" hidden="1">
      <c r="A122" s="7" t="s">
        <v>152</v>
      </c>
      <c r="B122" s="89">
        <v>444</v>
      </c>
      <c r="C122" s="42">
        <v>1569.6</v>
      </c>
      <c r="D122" s="42">
        <v>347.5</v>
      </c>
      <c r="E122" s="67">
        <v>653.70000000000005</v>
      </c>
      <c r="F122" s="64">
        <f>1392.3+197.6</f>
        <v>1589.8999999999999</v>
      </c>
      <c r="G122" s="64">
        <v>222</v>
      </c>
      <c r="H122" s="64"/>
      <c r="I122" s="64"/>
      <c r="J122" s="109">
        <v>219</v>
      </c>
      <c r="K122" s="42">
        <f>2114.2+163.7</f>
        <v>2277.8999999999996</v>
      </c>
      <c r="L122" s="123">
        <f t="shared" si="9"/>
        <v>6879.6</v>
      </c>
      <c r="M122" s="42">
        <v>34.299999999999997</v>
      </c>
      <c r="N122" s="138">
        <f t="shared" si="10"/>
        <v>2465.6</v>
      </c>
      <c r="O122" s="125">
        <v>170</v>
      </c>
      <c r="P122" s="109">
        <f t="shared" si="11"/>
        <v>2635.6</v>
      </c>
      <c r="Q122" s="155">
        <f t="shared" si="7"/>
        <v>15.494999999999999</v>
      </c>
      <c r="R122" s="39">
        <f t="shared" si="8"/>
        <v>5.936036036036036</v>
      </c>
      <c r="S122" s="128">
        <f t="shared" si="12"/>
        <v>0.75273257226135526</v>
      </c>
      <c r="T122" s="154">
        <f t="shared" si="13"/>
        <v>6913.9000000000005</v>
      </c>
      <c r="U122" s="85"/>
      <c r="W122" s="77"/>
    </row>
    <row r="123" spans="1:75" ht="18.75" hidden="1">
      <c r="A123" s="7" t="s">
        <v>153</v>
      </c>
      <c r="B123" s="89">
        <v>370</v>
      </c>
      <c r="C123" s="42">
        <v>1288.2</v>
      </c>
      <c r="D123" s="42">
        <v>285.2</v>
      </c>
      <c r="E123" s="67">
        <v>772.7</v>
      </c>
      <c r="F123" s="64">
        <v>1382.1</v>
      </c>
      <c r="G123" s="64">
        <v>211.7</v>
      </c>
      <c r="H123" s="64"/>
      <c r="I123" s="64"/>
      <c r="J123" s="109">
        <v>199</v>
      </c>
      <c r="K123" s="42">
        <f>1518+117.5</f>
        <v>1635.5</v>
      </c>
      <c r="L123" s="123">
        <f t="shared" si="9"/>
        <v>5774.4</v>
      </c>
      <c r="M123" s="42">
        <v>39.4</v>
      </c>
      <c r="N123" s="138">
        <f t="shared" si="10"/>
        <v>2366.5</v>
      </c>
      <c r="O123" s="125">
        <v>136</v>
      </c>
      <c r="P123" s="109">
        <f t="shared" si="11"/>
        <v>2502.5</v>
      </c>
      <c r="Q123" s="39">
        <f t="shared" si="7"/>
        <v>15.606</v>
      </c>
      <c r="R123" s="39">
        <f t="shared" si="8"/>
        <v>6.7635135135135132</v>
      </c>
      <c r="S123" s="128">
        <f t="shared" si="12"/>
        <v>0.75812484819042991</v>
      </c>
      <c r="T123" s="92">
        <f t="shared" si="13"/>
        <v>5813.7999999999993</v>
      </c>
      <c r="U123" s="85"/>
      <c r="W123" s="77"/>
    </row>
    <row r="124" spans="1:75" ht="18.75" hidden="1">
      <c r="A124" s="7" t="s">
        <v>266</v>
      </c>
      <c r="B124" s="89">
        <v>333</v>
      </c>
      <c r="C124" s="6">
        <v>1335.1</v>
      </c>
      <c r="D124" s="110">
        <v>295.60000000000002</v>
      </c>
      <c r="E124" s="67">
        <v>556.70000000000005</v>
      </c>
      <c r="F124" s="64">
        <v>68</v>
      </c>
      <c r="G124" s="64">
        <v>187.6</v>
      </c>
      <c r="H124" s="64">
        <v>367.7</v>
      </c>
      <c r="I124" s="64"/>
      <c r="J124" s="109">
        <v>187</v>
      </c>
      <c r="K124" s="42">
        <f>1327.1+102.7</f>
        <v>1429.8</v>
      </c>
      <c r="L124" s="123">
        <f t="shared" si="9"/>
        <v>4427.5</v>
      </c>
      <c r="M124" s="42">
        <v>31.6</v>
      </c>
      <c r="N124" s="138">
        <f t="shared" si="10"/>
        <v>1180</v>
      </c>
      <c r="O124" s="125">
        <v>110.5</v>
      </c>
      <c r="P124" s="109">
        <f t="shared" si="11"/>
        <v>1290.5</v>
      </c>
      <c r="Q124" s="39">
        <f t="shared" si="7"/>
        <v>13.295999999999999</v>
      </c>
      <c r="R124" s="39">
        <f t="shared" si="8"/>
        <v>3.8753753753753752</v>
      </c>
      <c r="S124" s="128">
        <f t="shared" si="12"/>
        <v>0.64590721399076989</v>
      </c>
      <c r="T124" s="92">
        <f t="shared" si="13"/>
        <v>4459.1000000000004</v>
      </c>
      <c r="U124" s="85"/>
      <c r="W124" s="77"/>
    </row>
    <row r="125" spans="1:75" ht="18.75" hidden="1">
      <c r="A125" s="122" t="s">
        <v>160</v>
      </c>
      <c r="B125" s="89">
        <v>175</v>
      </c>
      <c r="C125" s="42">
        <v>873.9</v>
      </c>
      <c r="D125" s="42">
        <v>193.5</v>
      </c>
      <c r="E125" s="63">
        <v>438.8</v>
      </c>
      <c r="F125" s="63">
        <v>218.7</v>
      </c>
      <c r="G125" s="63">
        <v>86.7</v>
      </c>
      <c r="H125" s="69"/>
      <c r="I125" s="69"/>
      <c r="J125" s="42">
        <v>154</v>
      </c>
      <c r="K125" s="42">
        <f>808.9+62.7</f>
        <v>871.6</v>
      </c>
      <c r="L125" s="123">
        <f t="shared" si="9"/>
        <v>2837.2</v>
      </c>
      <c r="M125" s="6">
        <v>42.6</v>
      </c>
      <c r="N125" s="138">
        <f t="shared" si="10"/>
        <v>744.2</v>
      </c>
      <c r="O125" s="125">
        <v>91.5</v>
      </c>
      <c r="P125" s="109">
        <f t="shared" si="11"/>
        <v>835.7</v>
      </c>
      <c r="Q125" s="39">
        <f t="shared" si="7"/>
        <v>16.213000000000001</v>
      </c>
      <c r="R125" s="39">
        <f t="shared" si="8"/>
        <v>4.7754285714285718</v>
      </c>
      <c r="S125" s="128">
        <f t="shared" si="12"/>
        <v>0.78761233908185568</v>
      </c>
      <c r="T125" s="92">
        <f t="shared" si="13"/>
        <v>2879.7999999999997</v>
      </c>
      <c r="U125" s="85"/>
      <c r="W125" s="77"/>
      <c r="X125" s="77"/>
      <c r="Y125" s="77"/>
    </row>
    <row r="126" spans="1:75" ht="18.75" hidden="1">
      <c r="A126" s="122" t="s">
        <v>158</v>
      </c>
      <c r="B126" s="89">
        <v>103</v>
      </c>
      <c r="C126" s="42">
        <v>733.2</v>
      </c>
      <c r="D126" s="42">
        <v>162.30000000000001</v>
      </c>
      <c r="E126" s="63">
        <v>411.3</v>
      </c>
      <c r="F126" s="63">
        <v>332.5</v>
      </c>
      <c r="G126" s="63">
        <v>39.700000000000003</v>
      </c>
      <c r="H126" s="69"/>
      <c r="I126" s="69"/>
      <c r="J126" s="42">
        <v>130</v>
      </c>
      <c r="K126" s="42">
        <f>514.5+39.8</f>
        <v>554.29999999999995</v>
      </c>
      <c r="L126" s="123">
        <f t="shared" si="9"/>
        <v>2363.3000000000002</v>
      </c>
      <c r="M126" s="6">
        <v>158</v>
      </c>
      <c r="N126" s="138">
        <f t="shared" si="10"/>
        <v>783.5</v>
      </c>
      <c r="O126" s="125">
        <v>112.7</v>
      </c>
      <c r="P126" s="109">
        <f t="shared" si="11"/>
        <v>896.2</v>
      </c>
      <c r="Q126" s="39">
        <f t="shared" si="7"/>
        <v>22.945</v>
      </c>
      <c r="R126" s="39">
        <f t="shared" si="8"/>
        <v>8.7009708737864084</v>
      </c>
      <c r="S126" s="157">
        <f t="shared" si="12"/>
        <v>1.1146465873208646</v>
      </c>
      <c r="T126" s="92">
        <f t="shared" si="13"/>
        <v>2521.3000000000002</v>
      </c>
      <c r="U126" s="85"/>
      <c r="W126" s="77"/>
      <c r="X126" s="77"/>
      <c r="Y126" s="77"/>
    </row>
    <row r="127" spans="1:75" ht="18.75" hidden="1">
      <c r="A127" s="122" t="s">
        <v>154</v>
      </c>
      <c r="B127" s="89">
        <v>411</v>
      </c>
      <c r="C127" s="42">
        <v>1116.2</v>
      </c>
      <c r="D127" s="42">
        <v>247.1</v>
      </c>
      <c r="E127" s="63">
        <v>684.4</v>
      </c>
      <c r="F127" s="63">
        <f>936.2+191.3</f>
        <v>1127.5</v>
      </c>
      <c r="G127" s="63">
        <v>182.7</v>
      </c>
      <c r="H127" s="69"/>
      <c r="I127" s="69"/>
      <c r="J127" s="42">
        <v>199</v>
      </c>
      <c r="K127" s="42">
        <f>1881.5+145.8</f>
        <v>2027.3</v>
      </c>
      <c r="L127" s="123">
        <f t="shared" si="9"/>
        <v>5584.2</v>
      </c>
      <c r="M127" s="6">
        <v>81.599999999999994</v>
      </c>
      <c r="N127" s="138">
        <f t="shared" si="10"/>
        <v>1994.6000000000001</v>
      </c>
      <c r="O127" s="125">
        <v>152.9</v>
      </c>
      <c r="P127" s="109">
        <f t="shared" si="11"/>
        <v>2147.5</v>
      </c>
      <c r="Q127" s="39">
        <f t="shared" si="7"/>
        <v>13.587</v>
      </c>
      <c r="R127" s="39">
        <f t="shared" si="8"/>
        <v>5.2250608272506085</v>
      </c>
      <c r="S127" s="128">
        <f t="shared" si="12"/>
        <v>0.6600437211561816</v>
      </c>
      <c r="T127" s="92">
        <f t="shared" si="13"/>
        <v>5665.8</v>
      </c>
      <c r="U127" s="85"/>
      <c r="W127" s="77"/>
      <c r="X127" s="77"/>
      <c r="Y127" s="77"/>
    </row>
    <row r="128" spans="1:75" ht="18.75" hidden="1">
      <c r="A128" s="122" t="s">
        <v>155</v>
      </c>
      <c r="B128" s="89">
        <v>348</v>
      </c>
      <c r="C128" s="42">
        <v>1092.8</v>
      </c>
      <c r="D128" s="42">
        <v>242</v>
      </c>
      <c r="E128" s="63">
        <v>458.4</v>
      </c>
      <c r="F128" s="63">
        <v>950</v>
      </c>
      <c r="G128" s="63">
        <v>112.1</v>
      </c>
      <c r="H128" s="69"/>
      <c r="I128" s="69"/>
      <c r="J128" s="42">
        <v>177</v>
      </c>
      <c r="K128" s="42">
        <f>1828.9+141.5</f>
        <v>1970.4</v>
      </c>
      <c r="L128" s="123">
        <f t="shared" si="9"/>
        <v>5002.7</v>
      </c>
      <c r="M128" s="6">
        <v>85.4</v>
      </c>
      <c r="N128" s="138">
        <f t="shared" si="10"/>
        <v>1520.5</v>
      </c>
      <c r="O128" s="125">
        <v>123.2</v>
      </c>
      <c r="P128" s="109">
        <f t="shared" si="11"/>
        <v>1643.7</v>
      </c>
      <c r="Q128" s="39">
        <f t="shared" si="7"/>
        <v>14.375999999999999</v>
      </c>
      <c r="R128" s="39">
        <f t="shared" si="8"/>
        <v>4.7232758620689657</v>
      </c>
      <c r="S128" s="128">
        <f t="shared" si="12"/>
        <v>0.69837260140879276</v>
      </c>
      <c r="T128" s="92">
        <f t="shared" si="13"/>
        <v>5088.0999999999995</v>
      </c>
      <c r="U128" s="85"/>
      <c r="W128" s="77"/>
      <c r="X128" s="77"/>
      <c r="Y128" s="77"/>
    </row>
    <row r="129" spans="1:75" ht="18.75" hidden="1">
      <c r="A129" s="122" t="s">
        <v>156</v>
      </c>
      <c r="B129" s="89">
        <v>233</v>
      </c>
      <c r="C129" s="42">
        <v>834.8</v>
      </c>
      <c r="D129" s="42">
        <v>184.8</v>
      </c>
      <c r="E129" s="63">
        <v>314.3</v>
      </c>
      <c r="F129" s="63">
        <v>733.2</v>
      </c>
      <c r="G129" s="64">
        <v>67</v>
      </c>
      <c r="H129" s="69"/>
      <c r="I129" s="69"/>
      <c r="J129" s="42">
        <v>154</v>
      </c>
      <c r="K129" s="42">
        <f>999.8+77.4</f>
        <v>1077.2</v>
      </c>
      <c r="L129" s="123">
        <f t="shared" si="9"/>
        <v>3365.3</v>
      </c>
      <c r="M129" s="6">
        <v>100</v>
      </c>
      <c r="N129" s="138">
        <f t="shared" si="10"/>
        <v>1114.5</v>
      </c>
      <c r="O129" s="125">
        <v>110</v>
      </c>
      <c r="P129" s="109">
        <f t="shared" si="11"/>
        <v>1224.5</v>
      </c>
      <c r="Q129" s="39">
        <f t="shared" si="7"/>
        <v>14.443</v>
      </c>
      <c r="R129" s="39">
        <f t="shared" si="8"/>
        <v>5.255364806866953</v>
      </c>
      <c r="S129" s="128">
        <f t="shared" si="12"/>
        <v>0.70162739859120715</v>
      </c>
      <c r="T129" s="92">
        <f t="shared" si="13"/>
        <v>3465.3</v>
      </c>
      <c r="U129" s="85"/>
      <c r="W129" s="77"/>
      <c r="X129" s="77"/>
      <c r="Y129" s="77"/>
    </row>
    <row r="130" spans="1:75" ht="18.75" hidden="1">
      <c r="A130" s="120">
        <v>186</v>
      </c>
      <c r="B130" s="106">
        <v>348</v>
      </c>
      <c r="C130" s="44">
        <v>1186.5999999999999</v>
      </c>
      <c r="D130" s="44">
        <v>262.7</v>
      </c>
      <c r="E130" s="65">
        <v>1008.5</v>
      </c>
      <c r="F130" s="65">
        <f>2040.7+216.3</f>
        <v>2257</v>
      </c>
      <c r="G130" s="65">
        <v>162.9</v>
      </c>
      <c r="H130" s="70"/>
      <c r="I130" s="70"/>
      <c r="J130" s="44">
        <v>295</v>
      </c>
      <c r="K130" s="44">
        <f>1772.4+158.6</f>
        <v>1931</v>
      </c>
      <c r="L130" s="123">
        <f t="shared" si="9"/>
        <v>7103.7</v>
      </c>
      <c r="M130" s="97">
        <v>252.5</v>
      </c>
      <c r="N130" s="138">
        <f t="shared" si="10"/>
        <v>3428.4</v>
      </c>
      <c r="O130" s="125">
        <v>174.5</v>
      </c>
      <c r="P130" s="109">
        <f t="shared" si="11"/>
        <v>3602.9</v>
      </c>
      <c r="Q130" s="155">
        <f t="shared" si="7"/>
        <v>20.413</v>
      </c>
      <c r="R130" s="39">
        <f t="shared" si="8"/>
        <v>10.35316091954023</v>
      </c>
      <c r="S130" s="128">
        <f t="shared" si="12"/>
        <v>0.99164440126305564</v>
      </c>
      <c r="T130" s="154">
        <f t="shared" si="13"/>
        <v>7356.2</v>
      </c>
      <c r="U130" s="85"/>
      <c r="W130" s="77"/>
      <c r="X130" s="77"/>
      <c r="Y130" s="77"/>
    </row>
    <row r="131" spans="1:75" ht="18.75" hidden="1">
      <c r="A131" s="7" t="s">
        <v>162</v>
      </c>
      <c r="B131" s="89">
        <v>414</v>
      </c>
      <c r="C131" s="42">
        <v>1546.2</v>
      </c>
      <c r="D131" s="42">
        <v>342.3</v>
      </c>
      <c r="E131" s="63">
        <v>877.6</v>
      </c>
      <c r="F131" s="63">
        <f>1834.8+246.8</f>
        <v>2081.6</v>
      </c>
      <c r="G131" s="63">
        <v>344.7</v>
      </c>
      <c r="H131" s="69"/>
      <c r="I131" s="69"/>
      <c r="J131" s="6">
        <v>219</v>
      </c>
      <c r="K131" s="42">
        <f>1807+139.9</f>
        <v>1946.9</v>
      </c>
      <c r="L131" s="123">
        <f t="shared" si="9"/>
        <v>7358.3</v>
      </c>
      <c r="M131" s="6">
        <v>76.7</v>
      </c>
      <c r="N131" s="138">
        <f t="shared" si="10"/>
        <v>3303.8999999999996</v>
      </c>
      <c r="O131" s="125">
        <v>118.6</v>
      </c>
      <c r="P131" s="109">
        <f t="shared" si="11"/>
        <v>3422.4999999999995</v>
      </c>
      <c r="Q131" s="155">
        <f t="shared" si="7"/>
        <v>17.774000000000001</v>
      </c>
      <c r="R131" s="39">
        <f t="shared" si="8"/>
        <v>8.2669082125603861</v>
      </c>
      <c r="S131" s="128">
        <f t="shared" si="12"/>
        <v>0.86344425552586834</v>
      </c>
      <c r="T131" s="154">
        <f t="shared" si="13"/>
        <v>7435</v>
      </c>
      <c r="U131" s="85"/>
      <c r="W131" s="77"/>
      <c r="X131" s="77"/>
      <c r="Y131" s="77"/>
    </row>
    <row r="132" spans="1:75" ht="18.75" hidden="1">
      <c r="A132" s="122" t="s">
        <v>157</v>
      </c>
      <c r="B132" s="89">
        <v>401</v>
      </c>
      <c r="C132" s="42">
        <v>1378.5</v>
      </c>
      <c r="D132" s="42">
        <v>295.3</v>
      </c>
      <c r="E132" s="63">
        <v>802.3</v>
      </c>
      <c r="F132" s="63">
        <v>1105.7</v>
      </c>
      <c r="G132" s="63">
        <v>134.69999999999999</v>
      </c>
      <c r="H132" s="69"/>
      <c r="I132" s="69"/>
      <c r="J132" s="42">
        <v>208</v>
      </c>
      <c r="K132" s="42">
        <v>1607</v>
      </c>
      <c r="L132" s="123">
        <f t="shared" si="9"/>
        <v>5531.5</v>
      </c>
      <c r="M132" s="6">
        <v>210</v>
      </c>
      <c r="N132" s="138">
        <f t="shared" si="10"/>
        <v>2042.7</v>
      </c>
      <c r="O132" s="125">
        <v>152.9</v>
      </c>
      <c r="P132" s="109">
        <f t="shared" si="11"/>
        <v>2195.6</v>
      </c>
      <c r="Q132" s="39">
        <f t="shared" si="7"/>
        <v>13.794</v>
      </c>
      <c r="R132" s="39">
        <f t="shared" si="8"/>
        <v>5.4753117206982544</v>
      </c>
      <c r="S132" s="128">
        <f t="shared" si="12"/>
        <v>0.67009958707796935</v>
      </c>
      <c r="T132" s="92">
        <f>L132+M132</f>
        <v>5741.5</v>
      </c>
      <c r="U132" s="85"/>
      <c r="W132" s="77"/>
      <c r="X132" s="77"/>
      <c r="Y132" s="77"/>
    </row>
    <row r="133" spans="1:75" ht="18.75" hidden="1">
      <c r="A133" s="122" t="s">
        <v>159</v>
      </c>
      <c r="B133" s="89">
        <v>162</v>
      </c>
      <c r="C133" s="42">
        <v>866.1</v>
      </c>
      <c r="D133" s="42">
        <v>191.8</v>
      </c>
      <c r="E133" s="63">
        <v>196.5</v>
      </c>
      <c r="F133" s="63">
        <v>418.3</v>
      </c>
      <c r="G133" s="63">
        <v>69.7</v>
      </c>
      <c r="H133" s="69"/>
      <c r="I133" s="69"/>
      <c r="J133" s="42">
        <v>154</v>
      </c>
      <c r="K133" s="42">
        <f>867.1+67.1</f>
        <v>934.2</v>
      </c>
      <c r="L133" s="123">
        <f t="shared" si="9"/>
        <v>2830.6</v>
      </c>
      <c r="M133" s="6">
        <v>53.8</v>
      </c>
      <c r="N133" s="138">
        <f t="shared" si="10"/>
        <v>684.5</v>
      </c>
      <c r="O133" s="125">
        <v>137.80000000000001</v>
      </c>
      <c r="P133" s="109">
        <f t="shared" si="11"/>
        <v>822.3</v>
      </c>
      <c r="Q133" s="39">
        <f t="shared" ref="Q133:Q134" si="14">ROUND(L133/B133,3)</f>
        <v>17.472999999999999</v>
      </c>
      <c r="R133" s="39">
        <f t="shared" ref="R133:R135" si="15">P133/B133</f>
        <v>5.075925925925926</v>
      </c>
      <c r="S133" s="128">
        <f t="shared" si="12"/>
        <v>0.8488219577362156</v>
      </c>
      <c r="T133" s="92">
        <f t="shared" si="13"/>
        <v>2884.4</v>
      </c>
      <c r="U133" s="85"/>
      <c r="W133" s="77"/>
      <c r="X133" s="77"/>
      <c r="Y133" s="77"/>
    </row>
    <row r="134" spans="1:75" ht="18.75" hidden="1">
      <c r="A134" s="122" t="s">
        <v>161</v>
      </c>
      <c r="B134" s="89">
        <v>372</v>
      </c>
      <c r="C134" s="42">
        <v>1288.7</v>
      </c>
      <c r="D134" s="42">
        <v>285.3</v>
      </c>
      <c r="E134" s="63">
        <v>749.9</v>
      </c>
      <c r="F134" s="63">
        <v>1153</v>
      </c>
      <c r="G134" s="63">
        <v>203.2</v>
      </c>
      <c r="H134" s="69"/>
      <c r="I134" s="69"/>
      <c r="J134" s="42">
        <v>199</v>
      </c>
      <c r="K134" s="42">
        <f>1863.3+144.2</f>
        <v>2007.5</v>
      </c>
      <c r="L134" s="123">
        <f t="shared" ref="L134:L135" si="16">ROUND(C134+D134+H134+J134+K134+F134+G134+E134,1)</f>
        <v>5886.6</v>
      </c>
      <c r="M134" s="6">
        <v>907.8</v>
      </c>
      <c r="N134" s="138">
        <f>E134+F134+G134+H134+I134</f>
        <v>2106.1</v>
      </c>
      <c r="O134" s="125">
        <v>129.19999999999999</v>
      </c>
      <c r="P134" s="109">
        <f t="shared" ref="P134:P135" si="17">N134+O134</f>
        <v>2235.2999999999997</v>
      </c>
      <c r="Q134" s="39">
        <f t="shared" si="14"/>
        <v>15.824</v>
      </c>
      <c r="R134" s="39">
        <f t="shared" si="15"/>
        <v>6.0088709677419345</v>
      </c>
      <c r="S134" s="128">
        <f>Q134/20.585</f>
        <v>0.76871508379888265</v>
      </c>
      <c r="T134" s="92">
        <f t="shared" ref="T134:T135" si="18">L134+M134</f>
        <v>6794.4000000000005</v>
      </c>
      <c r="U134" s="85"/>
      <c r="W134" s="77"/>
      <c r="X134" s="77"/>
      <c r="Y134" s="77"/>
    </row>
    <row r="135" spans="1:75" ht="18.75" hidden="1">
      <c r="A135" s="122" t="s">
        <v>291</v>
      </c>
      <c r="B135" s="89"/>
      <c r="C135" s="42">
        <v>928.6</v>
      </c>
      <c r="D135" s="42">
        <v>204.9</v>
      </c>
      <c r="E135" s="63"/>
      <c r="F135" s="63"/>
      <c r="G135" s="63"/>
      <c r="H135" s="69"/>
      <c r="I135" s="69"/>
      <c r="J135" s="42"/>
      <c r="K135" s="42">
        <v>2788.6</v>
      </c>
      <c r="L135" s="123">
        <f t="shared" si="16"/>
        <v>3922.1</v>
      </c>
      <c r="M135" s="6"/>
      <c r="N135" s="138">
        <f t="shared" ref="N135" si="19">E135+F135+G135+H135+I135</f>
        <v>0</v>
      </c>
      <c r="O135" s="125">
        <v>0</v>
      </c>
      <c r="P135" s="109">
        <f t="shared" si="17"/>
        <v>0</v>
      </c>
      <c r="Q135" s="39"/>
      <c r="R135" s="39" t="e">
        <f t="shared" si="15"/>
        <v>#DIV/0!</v>
      </c>
      <c r="S135" s="128">
        <f>Q135/20.585</f>
        <v>0</v>
      </c>
      <c r="T135" s="92">
        <f t="shared" si="18"/>
        <v>3922.1</v>
      </c>
      <c r="U135" s="85"/>
      <c r="W135" s="77"/>
      <c r="X135" s="77"/>
      <c r="Y135" s="77"/>
    </row>
    <row r="136" spans="1:75" s="114" customFormat="1" ht="15.75" hidden="1">
      <c r="A136" s="111" t="s">
        <v>263</v>
      </c>
      <c r="B136" s="112">
        <f t="shared" ref="B136:J136" si="20">SUM(B4:B135)</f>
        <v>30745</v>
      </c>
      <c r="C136" s="112">
        <f t="shared" si="20"/>
        <v>136892.60000000003</v>
      </c>
      <c r="D136" s="112">
        <f t="shared" si="20"/>
        <v>30465.999999999978</v>
      </c>
      <c r="E136" s="112">
        <f t="shared" si="20"/>
        <v>60770.100000000013</v>
      </c>
      <c r="F136" s="112">
        <f t="shared" si="20"/>
        <v>110280.00000000004</v>
      </c>
      <c r="G136" s="112">
        <f t="shared" si="20"/>
        <v>14943.100000000006</v>
      </c>
      <c r="H136" s="112">
        <f t="shared" si="20"/>
        <v>395.3</v>
      </c>
      <c r="I136" s="112">
        <f t="shared" si="20"/>
        <v>67.599999999999994</v>
      </c>
      <c r="J136" s="112">
        <f t="shared" si="20"/>
        <v>22577.599999999999</v>
      </c>
      <c r="K136" s="112">
        <f>SUM(K4:K135)</f>
        <v>163343.09999999998</v>
      </c>
      <c r="L136" s="112">
        <f t="shared" ref="L136:M136" si="21">SUM(L4:L135)</f>
        <v>539311.39999999979</v>
      </c>
      <c r="M136" s="112">
        <f t="shared" si="21"/>
        <v>6870.2999999999993</v>
      </c>
      <c r="N136" s="112">
        <f>SUM(N4:N135)</f>
        <v>186456.1</v>
      </c>
      <c r="O136" s="112">
        <f>SUM(O4:O135)</f>
        <v>16232.699999999997</v>
      </c>
      <c r="P136" s="112">
        <f>N136+O136</f>
        <v>202688.8</v>
      </c>
      <c r="Q136" s="140">
        <f>ROUND(L136/B136,4)</f>
        <v>17.541399999999999</v>
      </c>
      <c r="R136" s="39">
        <f>P136/B136</f>
        <v>6.592577654903236</v>
      </c>
      <c r="S136" s="112"/>
      <c r="T136" s="112">
        <f>SUM(T4:T135)</f>
        <v>546181.70000000007</v>
      </c>
      <c r="U136" s="113"/>
      <c r="V136" s="80"/>
      <c r="W136" s="80"/>
      <c r="X136" s="80"/>
      <c r="Y136" s="80"/>
      <c r="Z136" s="87"/>
      <c r="AA136" s="87"/>
      <c r="AB136" s="87"/>
      <c r="AC136" s="87"/>
      <c r="AD136" s="87"/>
      <c r="AE136" s="87"/>
      <c r="AF136" s="87"/>
      <c r="AG136" s="87"/>
      <c r="AH136" s="87"/>
      <c r="AI136" s="87"/>
      <c r="AJ136" s="87"/>
      <c r="AK136" s="87"/>
      <c r="AL136" s="87"/>
      <c r="AM136" s="87"/>
      <c r="AN136" s="87"/>
      <c r="AO136" s="87"/>
      <c r="AP136" s="87"/>
      <c r="AQ136" s="87"/>
      <c r="AR136" s="87"/>
      <c r="AS136" s="87"/>
      <c r="AT136" s="87"/>
      <c r="AU136" s="87"/>
      <c r="AV136" s="87"/>
      <c r="AW136" s="87"/>
      <c r="AX136" s="87"/>
      <c r="AY136" s="87"/>
      <c r="AZ136" s="87"/>
      <c r="BA136" s="87"/>
      <c r="BB136" s="87"/>
      <c r="BC136" s="87"/>
      <c r="BD136" s="87"/>
      <c r="BE136" s="87"/>
      <c r="BF136" s="87"/>
      <c r="BG136" s="87"/>
      <c r="BH136" s="87"/>
      <c r="BI136" s="87"/>
      <c r="BJ136" s="87"/>
      <c r="BK136" s="87"/>
      <c r="BL136" s="87"/>
      <c r="BM136" s="87"/>
      <c r="BN136" s="87"/>
      <c r="BO136" s="87"/>
      <c r="BP136" s="87"/>
      <c r="BQ136" s="87"/>
      <c r="BR136" s="87"/>
      <c r="BS136" s="87"/>
      <c r="BT136" s="87"/>
      <c r="BU136" s="87"/>
      <c r="BV136" s="87"/>
      <c r="BW136" s="87"/>
    </row>
    <row r="137" spans="1:75" hidden="1">
      <c r="A137" s="89"/>
      <c r="B137" s="89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122"/>
      <c r="O137" s="7"/>
      <c r="P137" s="7"/>
      <c r="Q137" s="7"/>
      <c r="R137" s="7"/>
      <c r="S137" s="21"/>
      <c r="T137" s="39"/>
    </row>
    <row r="138" spans="1:75" hidden="1">
      <c r="A138" s="6"/>
      <c r="B138" s="115"/>
      <c r="C138" s="7"/>
      <c r="D138" s="7"/>
      <c r="E138" s="7"/>
      <c r="F138" s="7"/>
      <c r="G138" s="7"/>
      <c r="H138" s="7"/>
      <c r="I138" s="7"/>
      <c r="J138" s="7"/>
      <c r="K138" s="7"/>
      <c r="L138" s="7"/>
      <c r="M138" s="7"/>
      <c r="N138" s="122"/>
      <c r="O138" s="7"/>
      <c r="P138" s="7"/>
      <c r="Q138" s="7"/>
      <c r="R138" s="7"/>
      <c r="S138" s="21">
        <v>20.585000000000001</v>
      </c>
      <c r="T138" s="39"/>
    </row>
    <row r="139" spans="1:75" hidden="1">
      <c r="C139" s="95"/>
      <c r="D139" s="95"/>
      <c r="E139" s="95"/>
      <c r="F139" s="95"/>
      <c r="G139" s="95"/>
      <c r="H139" s="95"/>
      <c r="I139" s="95"/>
      <c r="J139" s="95"/>
      <c r="K139" s="95"/>
      <c r="M139" s="95"/>
      <c r="S139" s="141">
        <f>T136/B136</f>
        <v>17.764895104895107</v>
      </c>
      <c r="T139" s="116">
        <v>546181.69999999995</v>
      </c>
      <c r="V139" s="117"/>
    </row>
    <row r="140" spans="1:75" hidden="1">
      <c r="L140" s="118"/>
      <c r="N140" s="133"/>
      <c r="T140" s="116">
        <f>T139-T136</f>
        <v>0</v>
      </c>
    </row>
    <row r="141" spans="1:75" hidden="1">
      <c r="S141" s="127">
        <v>17.509</v>
      </c>
      <c r="T141" s="116"/>
    </row>
    <row r="142" spans="1:75" hidden="1">
      <c r="S142" s="127" t="s">
        <v>311</v>
      </c>
      <c r="T142" s="116"/>
    </row>
    <row r="143" spans="1:75" hidden="1">
      <c r="T143" s="116"/>
    </row>
    <row r="144" spans="1:75" hidden="1">
      <c r="T144" s="116"/>
    </row>
    <row r="145" spans="1:20" hidden="1"/>
    <row r="146" spans="1:20" hidden="1"/>
    <row r="147" spans="1:20" hidden="1"/>
    <row r="148" spans="1:20" hidden="1"/>
    <row r="149" spans="1:20" hidden="1"/>
    <row r="150" spans="1:20" hidden="1"/>
    <row r="151" spans="1:20" hidden="1"/>
    <row r="152" spans="1:20" hidden="1"/>
    <row r="153" spans="1:20" hidden="1"/>
    <row r="154" spans="1:20" hidden="1"/>
    <row r="155" spans="1:20" hidden="1"/>
    <row r="156" spans="1:20" hidden="1"/>
    <row r="157" spans="1:20" hidden="1"/>
    <row r="158" spans="1:20" ht="18.75">
      <c r="A158" s="111" t="s">
        <v>340</v>
      </c>
      <c r="B158" s="112">
        <f>B15+B20+B75+B80+B83+B85+B88+B89+B102+B111</f>
        <v>3077</v>
      </c>
      <c r="C158" s="112">
        <f t="shared" ref="C158:P158" si="22">C15+C20+C75+C80+C83+C85+C88+C89+C102+C111</f>
        <v>15907.3</v>
      </c>
      <c r="D158" s="112">
        <f t="shared" si="22"/>
        <v>3522.1000000000004</v>
      </c>
      <c r="E158" s="112">
        <f t="shared" si="22"/>
        <v>6420.9</v>
      </c>
      <c r="F158" s="112">
        <f t="shared" si="22"/>
        <v>11138.599999999999</v>
      </c>
      <c r="G158" s="112">
        <f t="shared" si="22"/>
        <v>1324.8999999999999</v>
      </c>
      <c r="H158" s="112">
        <f t="shared" si="22"/>
        <v>27.6</v>
      </c>
      <c r="I158" s="112">
        <f t="shared" si="22"/>
        <v>0</v>
      </c>
      <c r="J158" s="112">
        <f t="shared" si="22"/>
        <v>2219.6</v>
      </c>
      <c r="K158" s="112">
        <f t="shared" si="22"/>
        <v>16262.900000000001</v>
      </c>
      <c r="L158" s="112">
        <f t="shared" si="22"/>
        <v>56823.9</v>
      </c>
      <c r="M158" s="112">
        <f t="shared" si="22"/>
        <v>524.20000000000005</v>
      </c>
      <c r="N158" s="112">
        <f t="shared" si="22"/>
        <v>18912</v>
      </c>
      <c r="O158" s="112">
        <f t="shared" si="22"/>
        <v>1713.1</v>
      </c>
      <c r="P158" s="112">
        <f t="shared" si="22"/>
        <v>20625.100000000002</v>
      </c>
      <c r="Q158" s="39">
        <f t="shared" ref="Q158" si="23">ROUND(L158/B158,3)</f>
        <v>18.466999999999999</v>
      </c>
      <c r="R158" s="39">
        <f t="shared" ref="R158" si="24">P158/B158</f>
        <v>6.7029899252518694</v>
      </c>
      <c r="S158" s="128">
        <f t="shared" ref="S158" si="25">Q158/20.585</f>
        <v>0.89710954578576618</v>
      </c>
      <c r="T158" s="112">
        <f t="shared" ref="T158" si="26">T15+T20+T75+T80+T83+T85+T88+T89+T102+T111</f>
        <v>57348.100000000006</v>
      </c>
    </row>
    <row r="163" spans="1:20">
      <c r="A163" s="207" t="s">
        <v>274</v>
      </c>
      <c r="B163" s="207"/>
    </row>
    <row r="164" spans="1:20" ht="120">
      <c r="A164" s="4" t="s">
        <v>11</v>
      </c>
      <c r="B164" s="4" t="s">
        <v>260</v>
      </c>
      <c r="C164" s="71">
        <v>211</v>
      </c>
      <c r="D164" s="71">
        <v>213</v>
      </c>
      <c r="E164" s="71" t="s">
        <v>13</v>
      </c>
      <c r="F164" s="71" t="s">
        <v>267</v>
      </c>
      <c r="G164" s="71" t="s">
        <v>12</v>
      </c>
      <c r="H164" s="71" t="s">
        <v>14</v>
      </c>
      <c r="I164" s="71" t="s">
        <v>269</v>
      </c>
      <c r="J164" s="71" t="s">
        <v>15</v>
      </c>
      <c r="K164" s="73" t="s">
        <v>261</v>
      </c>
      <c r="L164" s="82" t="s">
        <v>262</v>
      </c>
      <c r="M164" s="139" t="s">
        <v>310</v>
      </c>
      <c r="N164" s="142" t="s">
        <v>297</v>
      </c>
      <c r="O164" s="143" t="s">
        <v>298</v>
      </c>
      <c r="P164" s="137" t="s">
        <v>312</v>
      </c>
      <c r="Q164" s="147" t="s">
        <v>307</v>
      </c>
      <c r="R164" s="146" t="s">
        <v>309</v>
      </c>
      <c r="S164" s="8" t="s">
        <v>313</v>
      </c>
      <c r="T164" s="43" t="s">
        <v>293</v>
      </c>
    </row>
    <row r="165" spans="1:20" ht="18.75">
      <c r="A165" s="120">
        <v>80</v>
      </c>
      <c r="B165" s="106">
        <v>360</v>
      </c>
      <c r="C165" s="52">
        <v>1563.2</v>
      </c>
      <c r="D165" s="52">
        <v>470</v>
      </c>
      <c r="E165" s="42">
        <v>660.3</v>
      </c>
      <c r="F165" s="42">
        <v>561.9</v>
      </c>
      <c r="G165" s="42">
        <v>118.80000000000001</v>
      </c>
      <c r="H165" s="66"/>
      <c r="I165" s="66"/>
      <c r="J165" s="90">
        <v>70.5</v>
      </c>
      <c r="K165" s="107">
        <v>2505.6</v>
      </c>
      <c r="L165" s="123">
        <f t="shared" ref="L165:L166" si="27">ROUND(C165+D165+H165+J165+K165+F165+G165+E165,1)</f>
        <v>5950.3</v>
      </c>
      <c r="M165" s="42">
        <v>24.8</v>
      </c>
      <c r="N165" s="39">
        <f t="shared" ref="N165:N166" si="28">E165+F165+G165+H165+I165</f>
        <v>1340.9999999999998</v>
      </c>
      <c r="O165" s="90">
        <v>70.5</v>
      </c>
      <c r="P165" s="92">
        <f t="shared" ref="P165:P166" si="29">N165+O165</f>
        <v>1411.4999999999998</v>
      </c>
      <c r="Q165" s="39">
        <f t="shared" ref="Q165:Q166" si="30">ROUND(L165/B165,3)</f>
        <v>16.529</v>
      </c>
      <c r="R165" s="144">
        <f t="shared" ref="R165:R166" si="31">P165/B165</f>
        <v>3.9208333333333325</v>
      </c>
      <c r="S165" s="128">
        <f t="shared" ref="S165:S166" si="32">Q165/20.585</f>
        <v>0.80296332280786975</v>
      </c>
      <c r="T165" s="145">
        <f t="shared" ref="T165:T166" si="33">L165+M165</f>
        <v>5975.1</v>
      </c>
    </row>
    <row r="166" spans="1:20" ht="18.75">
      <c r="A166" s="7" t="s">
        <v>75</v>
      </c>
      <c r="B166" s="89">
        <v>308</v>
      </c>
      <c r="C166" s="51">
        <v>1515.2</v>
      </c>
      <c r="D166" s="51">
        <v>455.5</v>
      </c>
      <c r="E166" s="42">
        <v>533.20000000000005</v>
      </c>
      <c r="F166" s="42">
        <v>513.1</v>
      </c>
      <c r="G166" s="42">
        <v>127.7</v>
      </c>
      <c r="H166" s="64"/>
      <c r="I166" s="64"/>
      <c r="J166" s="108">
        <v>64</v>
      </c>
      <c r="K166" s="6">
        <v>2052.8000000000002</v>
      </c>
      <c r="L166" s="123">
        <f t="shared" si="27"/>
        <v>5261.5</v>
      </c>
      <c r="M166" s="42">
        <v>55.4</v>
      </c>
      <c r="N166" s="39">
        <f t="shared" si="28"/>
        <v>1174.0000000000002</v>
      </c>
      <c r="O166" s="42">
        <v>64</v>
      </c>
      <c r="P166" s="92">
        <f t="shared" si="29"/>
        <v>1238.0000000000002</v>
      </c>
      <c r="Q166" s="39">
        <f t="shared" si="30"/>
        <v>17.082999999999998</v>
      </c>
      <c r="R166" s="144">
        <f t="shared" si="31"/>
        <v>4.0194805194805205</v>
      </c>
      <c r="S166" s="128">
        <f t="shared" si="32"/>
        <v>0.8298761233908184</v>
      </c>
      <c r="T166" s="145">
        <f t="shared" si="33"/>
        <v>5316.9</v>
      </c>
    </row>
    <row r="167" spans="1:20" ht="18.75">
      <c r="A167" s="120">
        <v>6</v>
      </c>
      <c r="B167" s="106">
        <v>189</v>
      </c>
      <c r="C167" s="90">
        <v>1738.9</v>
      </c>
      <c r="D167" s="90">
        <v>522.79999999999995</v>
      </c>
      <c r="E167" s="42">
        <v>504.7</v>
      </c>
      <c r="F167" s="42">
        <v>538.79999999999995</v>
      </c>
      <c r="G167" s="42">
        <v>175.7</v>
      </c>
      <c r="H167" s="66"/>
      <c r="I167" s="66"/>
      <c r="J167" s="98">
        <v>64</v>
      </c>
      <c r="K167" s="44">
        <v>2182.1</v>
      </c>
      <c r="L167" s="123">
        <f t="shared" ref="L167:L174" si="34">ROUND(C167+D167+H167+J167+K167+F167+G167+E167,1)</f>
        <v>5727</v>
      </c>
      <c r="M167" s="42">
        <v>50.6</v>
      </c>
      <c r="N167" s="39">
        <f t="shared" ref="N167:N174" si="35">E167+F167+G167+H167+I167</f>
        <v>1219.2</v>
      </c>
      <c r="O167" s="100">
        <v>64</v>
      </c>
      <c r="P167" s="92">
        <f t="shared" ref="P167:P174" si="36">N167+O167</f>
        <v>1283.2</v>
      </c>
      <c r="Q167" s="39">
        <f t="shared" ref="Q167:Q174" si="37">ROUND(L167/B167,3)</f>
        <v>30.302</v>
      </c>
      <c r="R167" s="144">
        <f t="shared" ref="R167:R174" si="38">P167/B167</f>
        <v>6.7894179894179896</v>
      </c>
      <c r="S167" s="128">
        <f t="shared" ref="S167:S174" si="39">Q167/20.585</f>
        <v>1.4720427495749331</v>
      </c>
      <c r="T167" s="145">
        <f t="shared" ref="T167:T174" si="40">L167+M167</f>
        <v>5777.6</v>
      </c>
    </row>
    <row r="168" spans="1:20" ht="18.75">
      <c r="A168" s="120">
        <v>50</v>
      </c>
      <c r="B168" s="106">
        <v>269</v>
      </c>
      <c r="C168" s="90">
        <v>1523.2</v>
      </c>
      <c r="D168" s="90">
        <v>457.9</v>
      </c>
      <c r="E168" s="42">
        <v>544.79999999999995</v>
      </c>
      <c r="F168" s="42">
        <v>300.39999999999998</v>
      </c>
      <c r="G168" s="42">
        <v>109.1</v>
      </c>
      <c r="H168" s="66">
        <v>28.1</v>
      </c>
      <c r="I168" s="66"/>
      <c r="J168" s="98">
        <v>59.9</v>
      </c>
      <c r="K168" s="44">
        <v>1822</v>
      </c>
      <c r="L168" s="123">
        <f>ROUND(C168+D168+H168+J168+K168+F168+G168+E168,1)</f>
        <v>4845.3999999999996</v>
      </c>
      <c r="M168" s="42">
        <v>34.299999999999997</v>
      </c>
      <c r="N168" s="39">
        <f t="shared" si="35"/>
        <v>982.4</v>
      </c>
      <c r="O168" s="100">
        <v>59.9</v>
      </c>
      <c r="P168" s="92">
        <f t="shared" si="36"/>
        <v>1042.3</v>
      </c>
      <c r="Q168" s="39">
        <f t="shared" si="37"/>
        <v>18.013000000000002</v>
      </c>
      <c r="R168" s="144">
        <f t="shared" si="38"/>
        <v>3.874721189591078</v>
      </c>
      <c r="S168" s="128">
        <f t="shared" si="39"/>
        <v>0.87505465144522721</v>
      </c>
      <c r="T168" s="145">
        <f t="shared" si="40"/>
        <v>4879.7</v>
      </c>
    </row>
    <row r="169" spans="1:20" ht="18.75">
      <c r="A169" s="120">
        <v>91</v>
      </c>
      <c r="B169" s="106">
        <v>243</v>
      </c>
      <c r="C169" s="90">
        <v>1443.2</v>
      </c>
      <c r="D169" s="90">
        <v>433.9</v>
      </c>
      <c r="E169" s="42">
        <v>461.6</v>
      </c>
      <c r="F169" s="42">
        <v>355.70000000000005</v>
      </c>
      <c r="G169" s="42">
        <v>76.399999999999991</v>
      </c>
      <c r="H169" s="66"/>
      <c r="I169" s="66"/>
      <c r="J169" s="98">
        <v>61.3</v>
      </c>
      <c r="K169" s="44">
        <v>1725.1</v>
      </c>
      <c r="L169" s="123">
        <f t="shared" si="34"/>
        <v>4557.2</v>
      </c>
      <c r="M169" s="42">
        <v>42.1</v>
      </c>
      <c r="N169" s="39">
        <f t="shared" si="35"/>
        <v>893.7</v>
      </c>
      <c r="O169" s="100">
        <v>61.3</v>
      </c>
      <c r="P169" s="92">
        <f t="shared" si="36"/>
        <v>955</v>
      </c>
      <c r="Q169" s="39">
        <f t="shared" si="37"/>
        <v>18.754000000000001</v>
      </c>
      <c r="R169" s="144">
        <f t="shared" si="38"/>
        <v>3.9300411522633745</v>
      </c>
      <c r="S169" s="128">
        <f t="shared" si="39"/>
        <v>0.91105173670148165</v>
      </c>
      <c r="T169" s="145">
        <f t="shared" si="40"/>
        <v>4599.3</v>
      </c>
    </row>
    <row r="170" spans="1:20" ht="18.75">
      <c r="A170" s="7" t="s">
        <v>123</v>
      </c>
      <c r="B170" s="89">
        <v>495</v>
      </c>
      <c r="C170" s="7">
        <v>1850.8</v>
      </c>
      <c r="D170" s="7">
        <v>556.4</v>
      </c>
      <c r="E170" s="42">
        <v>718.4</v>
      </c>
      <c r="F170" s="42">
        <v>701.9</v>
      </c>
      <c r="G170" s="42">
        <v>250.1</v>
      </c>
      <c r="H170" s="64"/>
      <c r="I170" s="64"/>
      <c r="J170" s="109">
        <v>76.599999999999994</v>
      </c>
      <c r="K170" s="42">
        <v>3412.1</v>
      </c>
      <c r="L170" s="123">
        <f t="shared" si="34"/>
        <v>7566.3</v>
      </c>
      <c r="M170" s="42">
        <v>62</v>
      </c>
      <c r="N170" s="39">
        <f t="shared" si="35"/>
        <v>1670.3999999999999</v>
      </c>
      <c r="O170" s="125">
        <v>76.599999999999994</v>
      </c>
      <c r="P170" s="92">
        <f t="shared" si="36"/>
        <v>1746.9999999999998</v>
      </c>
      <c r="Q170" s="39">
        <f t="shared" si="37"/>
        <v>15.285</v>
      </c>
      <c r="R170" s="144">
        <f t="shared" si="38"/>
        <v>3.5292929292929287</v>
      </c>
      <c r="S170" s="128">
        <f t="shared" si="39"/>
        <v>0.74253096915229533</v>
      </c>
      <c r="T170" s="145">
        <f t="shared" si="40"/>
        <v>7628.3</v>
      </c>
    </row>
    <row r="171" spans="1:20" ht="18.75">
      <c r="A171" s="7" t="s">
        <v>126</v>
      </c>
      <c r="B171" s="89">
        <v>417</v>
      </c>
      <c r="C171" s="7">
        <v>1762.9</v>
      </c>
      <c r="D171" s="7">
        <v>530</v>
      </c>
      <c r="E171" s="42">
        <v>603</v>
      </c>
      <c r="F171" s="42">
        <v>546</v>
      </c>
      <c r="G171" s="42">
        <v>172.4</v>
      </c>
      <c r="H171" s="64"/>
      <c r="I171" s="64"/>
      <c r="J171" s="109">
        <v>70.5</v>
      </c>
      <c r="K171" s="42">
        <v>2884.5</v>
      </c>
      <c r="L171" s="123">
        <f t="shared" si="34"/>
        <v>6569.3</v>
      </c>
      <c r="M171" s="42">
        <v>22.3</v>
      </c>
      <c r="N171" s="39">
        <f t="shared" si="35"/>
        <v>1321.4</v>
      </c>
      <c r="O171" s="125">
        <v>70.5</v>
      </c>
      <c r="P171" s="92">
        <f t="shared" si="36"/>
        <v>1391.9</v>
      </c>
      <c r="Q171" s="39">
        <f t="shared" si="37"/>
        <v>15.754</v>
      </c>
      <c r="R171" s="144">
        <f t="shared" si="38"/>
        <v>3.3378896882494007</v>
      </c>
      <c r="S171" s="128">
        <f t="shared" si="39"/>
        <v>0.76531454942919597</v>
      </c>
      <c r="T171" s="145">
        <f t="shared" si="40"/>
        <v>6591.6</v>
      </c>
    </row>
    <row r="172" spans="1:20" ht="18.75">
      <c r="A172" s="7" t="s">
        <v>127</v>
      </c>
      <c r="B172" s="89">
        <v>286</v>
      </c>
      <c r="C172" s="7">
        <v>1635</v>
      </c>
      <c r="D172" s="7">
        <v>491.6</v>
      </c>
      <c r="E172" s="42">
        <v>627.6</v>
      </c>
      <c r="F172" s="42">
        <v>245.9</v>
      </c>
      <c r="G172" s="42">
        <v>104.1</v>
      </c>
      <c r="H172" s="64"/>
      <c r="I172" s="64"/>
      <c r="J172" s="109">
        <v>59.9</v>
      </c>
      <c r="K172" s="42">
        <v>2011.8</v>
      </c>
      <c r="L172" s="123">
        <f t="shared" si="34"/>
        <v>5175.8999999999996</v>
      </c>
      <c r="M172" s="42">
        <v>26.6</v>
      </c>
      <c r="N172" s="39">
        <f t="shared" si="35"/>
        <v>977.6</v>
      </c>
      <c r="O172" s="125">
        <v>59.9</v>
      </c>
      <c r="P172" s="92">
        <f t="shared" si="36"/>
        <v>1037.5</v>
      </c>
      <c r="Q172" s="39">
        <f t="shared" si="37"/>
        <v>18.097999999999999</v>
      </c>
      <c r="R172" s="144">
        <f t="shared" si="38"/>
        <v>3.6276223776223775</v>
      </c>
      <c r="S172" s="128">
        <f t="shared" si="39"/>
        <v>0.8791838717512751</v>
      </c>
      <c r="T172" s="145">
        <f t="shared" si="40"/>
        <v>5202.5</v>
      </c>
    </row>
    <row r="173" spans="1:20" ht="18.75">
      <c r="A173" s="120">
        <v>148</v>
      </c>
      <c r="B173" s="106">
        <v>198</v>
      </c>
      <c r="C173" s="42">
        <v>1523.2</v>
      </c>
      <c r="D173" s="42">
        <v>457.9</v>
      </c>
      <c r="E173" s="42">
        <v>622.5</v>
      </c>
      <c r="F173" s="42">
        <v>271.60000000000002</v>
      </c>
      <c r="G173" s="42">
        <v>119</v>
      </c>
      <c r="H173" s="66"/>
      <c r="I173" s="66"/>
      <c r="J173" s="98">
        <v>64</v>
      </c>
      <c r="K173" s="44">
        <v>1476.9</v>
      </c>
      <c r="L173" s="123">
        <f t="shared" si="34"/>
        <v>4535.1000000000004</v>
      </c>
      <c r="M173" s="42">
        <v>48.5</v>
      </c>
      <c r="N173" s="39">
        <f t="shared" si="35"/>
        <v>1013.1</v>
      </c>
      <c r="O173" s="100">
        <v>64</v>
      </c>
      <c r="P173" s="92">
        <f t="shared" si="36"/>
        <v>1077.0999999999999</v>
      </c>
      <c r="Q173" s="39">
        <f t="shared" si="37"/>
        <v>22.905000000000001</v>
      </c>
      <c r="R173" s="144">
        <f t="shared" si="38"/>
        <v>5.4398989898989898</v>
      </c>
      <c r="S173" s="128">
        <f t="shared" si="39"/>
        <v>1.1127034248239009</v>
      </c>
      <c r="T173" s="145">
        <f t="shared" si="40"/>
        <v>4583.6000000000004</v>
      </c>
    </row>
    <row r="174" spans="1:20" ht="18.75">
      <c r="A174" s="7" t="s">
        <v>144</v>
      </c>
      <c r="B174" s="89">
        <v>312</v>
      </c>
      <c r="C174" s="42">
        <v>1707</v>
      </c>
      <c r="D174" s="42">
        <v>513.20000000000005</v>
      </c>
      <c r="E174" s="42">
        <v>1097.9000000000001</v>
      </c>
      <c r="F174" s="42">
        <v>311.39999999999998</v>
      </c>
      <c r="G174" s="42">
        <v>152.4</v>
      </c>
      <c r="H174" s="64"/>
      <c r="I174" s="64"/>
      <c r="J174" s="109">
        <v>64</v>
      </c>
      <c r="K174" s="42">
        <v>2145.6999999999998</v>
      </c>
      <c r="L174" s="123">
        <f t="shared" si="34"/>
        <v>5991.6</v>
      </c>
      <c r="M174" s="42">
        <v>57.1</v>
      </c>
      <c r="N174" s="39">
        <f t="shared" si="35"/>
        <v>1561.7000000000003</v>
      </c>
      <c r="O174" s="125">
        <v>64</v>
      </c>
      <c r="P174" s="92">
        <f t="shared" si="36"/>
        <v>1625.7000000000003</v>
      </c>
      <c r="Q174" s="39">
        <f t="shared" si="37"/>
        <v>19.204000000000001</v>
      </c>
      <c r="R174" s="144">
        <f t="shared" si="38"/>
        <v>5.2105769230769239</v>
      </c>
      <c r="S174" s="128">
        <f t="shared" si="39"/>
        <v>0.9329123147923245</v>
      </c>
      <c r="T174" s="145">
        <f t="shared" si="40"/>
        <v>6048.7000000000007</v>
      </c>
    </row>
    <row r="175" spans="1:20" ht="18.75">
      <c r="A175" s="111" t="s">
        <v>263</v>
      </c>
      <c r="B175" s="112">
        <f t="shared" ref="B175:P175" si="41">SUM(B165:B174)</f>
        <v>3077</v>
      </c>
      <c r="C175" s="112">
        <f t="shared" si="41"/>
        <v>16262.6</v>
      </c>
      <c r="D175" s="112">
        <f t="shared" si="41"/>
        <v>4889.2</v>
      </c>
      <c r="E175" s="112">
        <f t="shared" si="41"/>
        <v>6374</v>
      </c>
      <c r="F175" s="112">
        <f t="shared" si="41"/>
        <v>4346.7</v>
      </c>
      <c r="G175" s="112">
        <f t="shared" si="41"/>
        <v>1405.7</v>
      </c>
      <c r="H175" s="112">
        <f t="shared" si="41"/>
        <v>28.1</v>
      </c>
      <c r="I175" s="112">
        <f t="shared" si="41"/>
        <v>0</v>
      </c>
      <c r="J175" s="112">
        <f t="shared" si="41"/>
        <v>654.69999999999993</v>
      </c>
      <c r="K175" s="112">
        <f t="shared" si="41"/>
        <v>22218.600000000002</v>
      </c>
      <c r="L175" s="112">
        <f t="shared" si="41"/>
        <v>56179.6</v>
      </c>
      <c r="M175" s="112">
        <f t="shared" si="41"/>
        <v>423.7000000000001</v>
      </c>
      <c r="N175" s="112">
        <f t="shared" si="41"/>
        <v>12154.5</v>
      </c>
      <c r="O175" s="112">
        <f t="shared" si="41"/>
        <v>654.69999999999993</v>
      </c>
      <c r="P175" s="112">
        <f t="shared" si="41"/>
        <v>12809.2</v>
      </c>
      <c r="Q175" s="39">
        <f>ROUND(L175/B175,3)</f>
        <v>18.257999999999999</v>
      </c>
      <c r="R175" s="144">
        <f>P175/B175</f>
        <v>4.1628859278518036</v>
      </c>
      <c r="S175" s="128">
        <f t="shared" ref="S175" si="42">Q175/20.585</f>
        <v>0.88695652173913031</v>
      </c>
      <c r="T175" s="112">
        <f>SUM(T165:T174)</f>
        <v>56603.3</v>
      </c>
    </row>
    <row r="178" spans="1:20">
      <c r="A178" s="207" t="s">
        <v>314</v>
      </c>
      <c r="B178" s="207"/>
      <c r="C178" s="78"/>
      <c r="D178" s="78"/>
      <c r="E178" s="79"/>
      <c r="F178" s="79"/>
      <c r="G178" s="79"/>
      <c r="H178" s="78"/>
      <c r="I178" s="78"/>
      <c r="J178" s="78"/>
      <c r="K178" s="78"/>
      <c r="L178" s="78"/>
      <c r="N178" s="25"/>
      <c r="R178" s="80"/>
      <c r="S178" s="80"/>
      <c r="T178" s="80"/>
    </row>
    <row r="179" spans="1:20" ht="120">
      <c r="A179" s="4" t="s">
        <v>11</v>
      </c>
      <c r="B179" s="4" t="s">
        <v>260</v>
      </c>
      <c r="C179" s="71">
        <v>211</v>
      </c>
      <c r="D179" s="71">
        <v>213</v>
      </c>
      <c r="E179" s="71" t="s">
        <v>13</v>
      </c>
      <c r="F179" s="71" t="s">
        <v>267</v>
      </c>
      <c r="G179" s="71" t="s">
        <v>12</v>
      </c>
      <c r="H179" s="71" t="s">
        <v>14</v>
      </c>
      <c r="I179" s="71" t="s">
        <v>269</v>
      </c>
      <c r="J179" s="71" t="s">
        <v>15</v>
      </c>
      <c r="K179" s="73" t="s">
        <v>261</v>
      </c>
      <c r="L179" s="82" t="s">
        <v>262</v>
      </c>
      <c r="M179" s="139" t="s">
        <v>310</v>
      </c>
      <c r="N179" s="142" t="s">
        <v>297</v>
      </c>
      <c r="O179" s="143" t="s">
        <v>298</v>
      </c>
      <c r="P179" s="137" t="s">
        <v>312</v>
      </c>
      <c r="Q179" s="147" t="s">
        <v>307</v>
      </c>
      <c r="R179" s="146" t="s">
        <v>309</v>
      </c>
      <c r="S179" s="8" t="s">
        <v>313</v>
      </c>
      <c r="T179" s="43" t="s">
        <v>293</v>
      </c>
    </row>
    <row r="180" spans="1:20" ht="18.75">
      <c r="A180" s="120">
        <v>80</v>
      </c>
      <c r="B180" s="106">
        <v>360</v>
      </c>
      <c r="C180" s="52">
        <v>1648.4</v>
      </c>
      <c r="D180" s="52">
        <v>497.8</v>
      </c>
      <c r="E180" s="42">
        <v>399.2</v>
      </c>
      <c r="F180" s="42">
        <v>101.1</v>
      </c>
      <c r="G180" s="42">
        <v>32.799999999999997</v>
      </c>
      <c r="H180" s="66"/>
      <c r="I180" s="66"/>
      <c r="J180" s="42">
        <v>41.3</v>
      </c>
      <c r="K180" s="42">
        <v>3359.2</v>
      </c>
      <c r="L180" s="123">
        <f t="shared" ref="L180:L181" si="43">ROUND(C180+D180+H180+J180+K180+F180+G180+E180,1)</f>
        <v>6079.8</v>
      </c>
      <c r="M180" s="42">
        <v>10.8</v>
      </c>
      <c r="N180" s="39">
        <f t="shared" ref="N180:N181" si="44">E180+F180+G180+H180+I180</f>
        <v>533.09999999999991</v>
      </c>
      <c r="O180" s="42">
        <v>41.3</v>
      </c>
      <c r="P180" s="92">
        <f t="shared" ref="P180:P181" si="45">N180+O180</f>
        <v>574.39999999999986</v>
      </c>
      <c r="Q180" s="39">
        <f t="shared" ref="Q180:Q181" si="46">ROUND(L180/B180,3)</f>
        <v>16.888000000000002</v>
      </c>
      <c r="R180" s="144">
        <f t="shared" ref="R180:R181" si="47">P180/B180</f>
        <v>1.5955555555555552</v>
      </c>
      <c r="S180" s="128">
        <f t="shared" ref="S180:S181" si="48">Q180/20.585</f>
        <v>0.82040320621812002</v>
      </c>
      <c r="T180" s="145">
        <f t="shared" ref="T180:T181" si="49">L180+M180</f>
        <v>6090.6</v>
      </c>
    </row>
    <row r="181" spans="1:20" ht="18.75">
      <c r="A181" s="7" t="s">
        <v>75</v>
      </c>
      <c r="B181" s="89">
        <v>308</v>
      </c>
      <c r="C181" s="51">
        <v>1597.7</v>
      </c>
      <c r="D181" s="51">
        <v>482.5</v>
      </c>
      <c r="E181" s="42">
        <v>322.3</v>
      </c>
      <c r="F181" s="42">
        <v>92.8</v>
      </c>
      <c r="G181" s="42">
        <v>35.299999999999997</v>
      </c>
      <c r="H181" s="64"/>
      <c r="I181" s="64"/>
      <c r="J181" s="42">
        <v>37.5</v>
      </c>
      <c r="K181" s="42">
        <v>2785.5</v>
      </c>
      <c r="L181" s="123">
        <f t="shared" si="43"/>
        <v>5353.6</v>
      </c>
      <c r="M181" s="42">
        <v>24</v>
      </c>
      <c r="N181" s="39">
        <f t="shared" si="44"/>
        <v>450.40000000000003</v>
      </c>
      <c r="O181" s="42">
        <v>37.5</v>
      </c>
      <c r="P181" s="92">
        <f t="shared" si="45"/>
        <v>487.90000000000003</v>
      </c>
      <c r="Q181" s="39">
        <f t="shared" si="46"/>
        <v>17.382000000000001</v>
      </c>
      <c r="R181" s="144">
        <f t="shared" si="47"/>
        <v>1.5840909090909092</v>
      </c>
      <c r="S181" s="128">
        <f t="shared" si="48"/>
        <v>0.84440126305562302</v>
      </c>
      <c r="T181" s="145">
        <f t="shared" si="49"/>
        <v>5377.6</v>
      </c>
    </row>
    <row r="182" spans="1:20" ht="18.75">
      <c r="A182" s="120">
        <v>6</v>
      </c>
      <c r="B182" s="106">
        <v>189</v>
      </c>
      <c r="C182" s="90">
        <v>1833.6</v>
      </c>
      <c r="D182" s="90">
        <v>553.70000000000005</v>
      </c>
      <c r="E182" s="42">
        <v>305.10000000000002</v>
      </c>
      <c r="F182" s="42">
        <v>97.3</v>
      </c>
      <c r="G182" s="42">
        <v>48.5</v>
      </c>
      <c r="H182" s="66"/>
      <c r="I182" s="66"/>
      <c r="J182" s="42">
        <v>37.5</v>
      </c>
      <c r="K182" s="42">
        <v>2926.5</v>
      </c>
      <c r="L182" s="123">
        <f t="shared" ref="L182:L189" si="50">ROUND(C182+D182+H182+J182+K182+F182+G182+E182,1)</f>
        <v>5802.2</v>
      </c>
      <c r="M182" s="42">
        <v>21.9</v>
      </c>
      <c r="N182" s="39">
        <f t="shared" ref="N182:N189" si="51">E182+F182+G182+H182+I182</f>
        <v>450.90000000000003</v>
      </c>
      <c r="O182" s="42">
        <v>37.5</v>
      </c>
      <c r="P182" s="92">
        <f t="shared" ref="P182:P189" si="52">N182+O182</f>
        <v>488.40000000000003</v>
      </c>
      <c r="Q182" s="39">
        <f t="shared" ref="Q182:Q189" si="53">ROUND(L182/B182,3)</f>
        <v>30.699000000000002</v>
      </c>
      <c r="R182" s="144">
        <f t="shared" ref="R182:R189" si="54">P182/B182</f>
        <v>2.5841269841269843</v>
      </c>
      <c r="S182" s="128">
        <f t="shared" ref="S182:S189" si="55">Q182/20.585</f>
        <v>1.4913286373572989</v>
      </c>
      <c r="T182" s="145">
        <f t="shared" ref="T182:T189" si="56">L182+M182</f>
        <v>5824.0999999999995</v>
      </c>
    </row>
    <row r="183" spans="1:20" ht="18.75">
      <c r="A183" s="120">
        <v>50</v>
      </c>
      <c r="B183" s="106">
        <v>269</v>
      </c>
      <c r="C183" s="90">
        <v>1606.2</v>
      </c>
      <c r="D183" s="90">
        <v>485.1</v>
      </c>
      <c r="E183" s="42">
        <v>329.4</v>
      </c>
      <c r="F183" s="42">
        <v>54</v>
      </c>
      <c r="G183" s="42">
        <v>30.1</v>
      </c>
      <c r="H183" s="42">
        <v>28.7</v>
      </c>
      <c r="I183" s="66"/>
      <c r="J183" s="42">
        <v>35.1</v>
      </c>
      <c r="K183" s="42">
        <v>2457.5</v>
      </c>
      <c r="L183" s="123">
        <f t="shared" si="50"/>
        <v>5026.1000000000004</v>
      </c>
      <c r="M183" s="42">
        <v>14.9</v>
      </c>
      <c r="N183" s="39">
        <f t="shared" si="51"/>
        <v>442.2</v>
      </c>
      <c r="O183" s="42">
        <v>35.1</v>
      </c>
      <c r="P183" s="92">
        <f t="shared" si="52"/>
        <v>477.3</v>
      </c>
      <c r="Q183" s="39">
        <f t="shared" si="53"/>
        <v>18.684000000000001</v>
      </c>
      <c r="R183" s="144">
        <f t="shared" si="54"/>
        <v>1.7743494423791821</v>
      </c>
      <c r="S183" s="128">
        <f t="shared" si="55"/>
        <v>0.90765120233179497</v>
      </c>
      <c r="T183" s="145">
        <f t="shared" si="56"/>
        <v>5041</v>
      </c>
    </row>
    <row r="184" spans="1:20" ht="18.75">
      <c r="A184" s="120">
        <v>91</v>
      </c>
      <c r="B184" s="106">
        <v>243</v>
      </c>
      <c r="C184" s="90">
        <v>1521.8</v>
      </c>
      <c r="D184" s="90">
        <v>459.6</v>
      </c>
      <c r="E184" s="42">
        <v>279.10000000000002</v>
      </c>
      <c r="F184" s="42">
        <v>126.4</v>
      </c>
      <c r="G184" s="42">
        <v>21.1</v>
      </c>
      <c r="H184" s="66"/>
      <c r="I184" s="66"/>
      <c r="J184" s="42">
        <v>35.9</v>
      </c>
      <c r="K184" s="42">
        <v>2291.8000000000002</v>
      </c>
      <c r="L184" s="123">
        <f t="shared" si="50"/>
        <v>4735.7</v>
      </c>
      <c r="M184" s="42">
        <v>18.3</v>
      </c>
      <c r="N184" s="39">
        <f t="shared" si="51"/>
        <v>426.6</v>
      </c>
      <c r="O184" s="42">
        <v>35.9</v>
      </c>
      <c r="P184" s="92">
        <f t="shared" si="52"/>
        <v>462.5</v>
      </c>
      <c r="Q184" s="39">
        <f t="shared" si="53"/>
        <v>19.488</v>
      </c>
      <c r="R184" s="144">
        <f t="shared" si="54"/>
        <v>1.9032921810699588</v>
      </c>
      <c r="S184" s="128">
        <f t="shared" si="55"/>
        <v>0.94670876852076746</v>
      </c>
      <c r="T184" s="145">
        <f t="shared" si="56"/>
        <v>4754</v>
      </c>
    </row>
    <row r="185" spans="1:20" ht="18.75">
      <c r="A185" s="7" t="s">
        <v>123</v>
      </c>
      <c r="B185" s="89">
        <v>495</v>
      </c>
      <c r="C185" s="7">
        <v>1951.6</v>
      </c>
      <c r="D185" s="7">
        <v>589.4</v>
      </c>
      <c r="E185" s="42">
        <v>434.3</v>
      </c>
      <c r="F185" s="42">
        <v>126.5</v>
      </c>
      <c r="G185" s="42">
        <v>69.099999999999994</v>
      </c>
      <c r="H185" s="64"/>
      <c r="I185" s="64"/>
      <c r="J185" s="42">
        <v>44.9</v>
      </c>
      <c r="K185" s="42">
        <v>4600</v>
      </c>
      <c r="L185" s="123">
        <f t="shared" si="50"/>
        <v>7815.8</v>
      </c>
      <c r="M185" s="42">
        <v>26.9</v>
      </c>
      <c r="N185" s="39">
        <f t="shared" si="51"/>
        <v>629.9</v>
      </c>
      <c r="O185" s="42">
        <v>44.9</v>
      </c>
      <c r="P185" s="92">
        <f t="shared" si="52"/>
        <v>674.8</v>
      </c>
      <c r="Q185" s="39">
        <f t="shared" si="53"/>
        <v>15.789</v>
      </c>
      <c r="R185" s="144">
        <f t="shared" si="54"/>
        <v>1.3632323232323231</v>
      </c>
      <c r="S185" s="128">
        <f t="shared" si="55"/>
        <v>0.76701481661403925</v>
      </c>
      <c r="T185" s="145">
        <f t="shared" si="56"/>
        <v>7842.7</v>
      </c>
    </row>
    <row r="186" spans="1:20" ht="18.75">
      <c r="A186" s="7" t="s">
        <v>126</v>
      </c>
      <c r="B186" s="89">
        <v>417</v>
      </c>
      <c r="C186" s="7">
        <v>1858.9</v>
      </c>
      <c r="D186" s="7">
        <v>561.4</v>
      </c>
      <c r="E186" s="42">
        <v>364.5</v>
      </c>
      <c r="F186" s="42">
        <v>98.2</v>
      </c>
      <c r="G186" s="42">
        <v>47.6</v>
      </c>
      <c r="H186" s="64"/>
      <c r="I186" s="64"/>
      <c r="J186" s="42">
        <v>41.3</v>
      </c>
      <c r="K186" s="42">
        <v>3873.2</v>
      </c>
      <c r="L186" s="123">
        <f t="shared" si="50"/>
        <v>6845.1</v>
      </c>
      <c r="M186" s="42">
        <v>9.6999999999999993</v>
      </c>
      <c r="N186" s="39">
        <f t="shared" si="51"/>
        <v>510.3</v>
      </c>
      <c r="O186" s="42">
        <v>41.3</v>
      </c>
      <c r="P186" s="92">
        <f t="shared" si="52"/>
        <v>551.6</v>
      </c>
      <c r="Q186" s="39">
        <f t="shared" si="53"/>
        <v>16.414999999999999</v>
      </c>
      <c r="R186" s="144">
        <f t="shared" si="54"/>
        <v>1.3227817745803359</v>
      </c>
      <c r="S186" s="128">
        <f t="shared" si="55"/>
        <v>0.79742530969152292</v>
      </c>
      <c r="T186" s="145">
        <f t="shared" si="56"/>
        <v>6854.8</v>
      </c>
    </row>
    <row r="187" spans="1:20" ht="18.75">
      <c r="A187" s="7" t="s">
        <v>127</v>
      </c>
      <c r="B187" s="89">
        <v>286</v>
      </c>
      <c r="C187" s="7">
        <v>1724.1</v>
      </c>
      <c r="D187" s="7">
        <v>520.70000000000005</v>
      </c>
      <c r="E187" s="42">
        <v>379.5</v>
      </c>
      <c r="F187" s="42">
        <v>44.2</v>
      </c>
      <c r="G187" s="42">
        <v>28.7</v>
      </c>
      <c r="H187" s="64"/>
      <c r="I187" s="64"/>
      <c r="J187" s="42">
        <v>35.1</v>
      </c>
      <c r="K187" s="42">
        <v>2727.9</v>
      </c>
      <c r="L187" s="123">
        <f t="shared" si="50"/>
        <v>5460.2</v>
      </c>
      <c r="M187" s="42">
        <v>11.5</v>
      </c>
      <c r="N187" s="39">
        <f t="shared" si="51"/>
        <v>452.4</v>
      </c>
      <c r="O187" s="42">
        <v>35.1</v>
      </c>
      <c r="P187" s="92">
        <f t="shared" si="52"/>
        <v>487.5</v>
      </c>
      <c r="Q187" s="39">
        <f t="shared" si="53"/>
        <v>19.091999999999999</v>
      </c>
      <c r="R187" s="144">
        <f t="shared" si="54"/>
        <v>1.7045454545454546</v>
      </c>
      <c r="S187" s="128">
        <f t="shared" si="55"/>
        <v>0.92747145980082579</v>
      </c>
      <c r="T187" s="145">
        <f t="shared" si="56"/>
        <v>5471.7</v>
      </c>
    </row>
    <row r="188" spans="1:20" ht="18.75">
      <c r="A188" s="120">
        <v>148</v>
      </c>
      <c r="B188" s="106">
        <v>198</v>
      </c>
      <c r="C188" s="42">
        <v>1606.2</v>
      </c>
      <c r="D188" s="42">
        <v>485.1</v>
      </c>
      <c r="E188" s="42">
        <v>376.3</v>
      </c>
      <c r="F188" s="42">
        <v>48.7</v>
      </c>
      <c r="G188" s="42">
        <v>32.9</v>
      </c>
      <c r="H188" s="66"/>
      <c r="I188" s="66"/>
      <c r="J188" s="42">
        <v>37.5</v>
      </c>
      <c r="K188" s="42">
        <v>1939.3</v>
      </c>
      <c r="L188" s="123">
        <f t="shared" si="50"/>
        <v>4526</v>
      </c>
      <c r="M188" s="42">
        <v>21</v>
      </c>
      <c r="N188" s="39">
        <f t="shared" si="51"/>
        <v>457.9</v>
      </c>
      <c r="O188" s="42">
        <v>37.5</v>
      </c>
      <c r="P188" s="92">
        <f t="shared" si="52"/>
        <v>495.4</v>
      </c>
      <c r="Q188" s="39">
        <f t="shared" si="53"/>
        <v>22.859000000000002</v>
      </c>
      <c r="R188" s="144">
        <f t="shared" si="54"/>
        <v>2.5020202020202018</v>
      </c>
      <c r="S188" s="128">
        <f t="shared" si="55"/>
        <v>1.1104687879523925</v>
      </c>
      <c r="T188" s="145">
        <f t="shared" si="56"/>
        <v>4547</v>
      </c>
    </row>
    <row r="189" spans="1:20" ht="18.75">
      <c r="A189" s="7" t="s">
        <v>144</v>
      </c>
      <c r="B189" s="89">
        <v>312</v>
      </c>
      <c r="C189" s="42">
        <v>1800</v>
      </c>
      <c r="D189" s="42">
        <v>543.6</v>
      </c>
      <c r="E189" s="42">
        <v>663.7</v>
      </c>
      <c r="F189" s="42">
        <v>55.8</v>
      </c>
      <c r="G189" s="42">
        <v>42.1</v>
      </c>
      <c r="H189" s="64"/>
      <c r="I189" s="64"/>
      <c r="J189" s="42">
        <v>37.5</v>
      </c>
      <c r="K189" s="42">
        <v>2890.2</v>
      </c>
      <c r="L189" s="123">
        <f t="shared" si="50"/>
        <v>6032.9</v>
      </c>
      <c r="M189" s="42">
        <v>24.8</v>
      </c>
      <c r="N189" s="39">
        <f t="shared" si="51"/>
        <v>761.6</v>
      </c>
      <c r="O189" s="42">
        <v>37.5</v>
      </c>
      <c r="P189" s="92">
        <f t="shared" si="52"/>
        <v>799.1</v>
      </c>
      <c r="Q189" s="39">
        <f t="shared" si="53"/>
        <v>19.335999999999999</v>
      </c>
      <c r="R189" s="144">
        <f t="shared" si="54"/>
        <v>2.5612179487179487</v>
      </c>
      <c r="S189" s="128">
        <f t="shared" si="55"/>
        <v>0.93932475103230495</v>
      </c>
      <c r="T189" s="145">
        <f t="shared" si="56"/>
        <v>6057.7</v>
      </c>
    </row>
    <row r="190" spans="1:20" ht="18.75">
      <c r="A190" s="111" t="s">
        <v>263</v>
      </c>
      <c r="B190" s="112">
        <f t="shared" ref="B190:O190" si="57">SUM(B180:B189)</f>
        <v>3077</v>
      </c>
      <c r="C190" s="112">
        <f t="shared" si="57"/>
        <v>17148.5</v>
      </c>
      <c r="D190" s="112">
        <f t="shared" si="57"/>
        <v>5178.9000000000005</v>
      </c>
      <c r="E190" s="112">
        <f t="shared" si="57"/>
        <v>3853.4000000000005</v>
      </c>
      <c r="F190" s="112">
        <f t="shared" si="57"/>
        <v>845.00000000000011</v>
      </c>
      <c r="G190" s="112">
        <f t="shared" si="57"/>
        <v>388.2</v>
      </c>
      <c r="H190" s="112">
        <f t="shared" si="57"/>
        <v>28.7</v>
      </c>
      <c r="I190" s="112">
        <f t="shared" si="57"/>
        <v>0</v>
      </c>
      <c r="J190" s="112">
        <f t="shared" si="57"/>
        <v>383.6</v>
      </c>
      <c r="K190" s="112">
        <f t="shared" si="57"/>
        <v>29851.100000000002</v>
      </c>
      <c r="L190" s="112">
        <f t="shared" si="57"/>
        <v>57677.4</v>
      </c>
      <c r="M190" s="112">
        <f t="shared" si="57"/>
        <v>183.8</v>
      </c>
      <c r="N190" s="112">
        <f t="shared" si="57"/>
        <v>5115.3000000000011</v>
      </c>
      <c r="O190" s="112">
        <f t="shared" si="57"/>
        <v>383.6</v>
      </c>
      <c r="P190" s="67">
        <f t="shared" ref="P190" si="58">N190+O190</f>
        <v>5498.9000000000015</v>
      </c>
      <c r="Q190" s="39">
        <f t="shared" ref="Q190" si="59">ROUND(L190/B190,3)</f>
        <v>18.745000000000001</v>
      </c>
      <c r="R190" s="144">
        <f t="shared" ref="R190" si="60">P190/B190</f>
        <v>1.7870978225544367</v>
      </c>
      <c r="S190" s="128">
        <f t="shared" ref="S190" si="61">Q190/20.585</f>
        <v>0.91061452513966479</v>
      </c>
      <c r="T190" s="112">
        <f>SUM(T180:T189)</f>
        <v>57861.2</v>
      </c>
    </row>
  </sheetData>
  <autoFilter ref="A1:A157">
    <filterColumn colId="0">
      <filters>
        <filter val="148"/>
        <filter val="50"/>
        <filter val="6"/>
        <filter val="80"/>
        <filter val="91"/>
        <filter val="МДОУ №107"/>
        <filter val="МДОУ №124"/>
        <filter val="МДОУ №136"/>
        <filter val="МДОУ №141"/>
        <filter val="МДОУ №190"/>
      </filters>
    </filterColumn>
  </autoFilter>
  <mergeCells count="4">
    <mergeCell ref="A178:B178"/>
    <mergeCell ref="A1:B1"/>
    <mergeCell ref="A3:T3"/>
    <mergeCell ref="A163:B163"/>
  </mergeCells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sheetPr filterMode="1"/>
  <dimension ref="A1:BW143"/>
  <sheetViews>
    <sheetView workbookViewId="0">
      <pane ySplit="2685" topLeftCell="A105" activePane="bottomLeft"/>
      <selection activeCell="B135" sqref="B135"/>
      <selection pane="bottomLeft" activeCell="U136" sqref="U136"/>
    </sheetView>
  </sheetViews>
  <sheetFormatPr defaultRowHeight="15"/>
  <cols>
    <col min="1" max="1" width="15" style="25" customWidth="1"/>
    <col min="2" max="2" width="11.7109375" style="25" customWidth="1"/>
    <col min="3" max="3" width="10.85546875" style="25" customWidth="1"/>
    <col min="4" max="4" width="9.7109375" style="25" customWidth="1"/>
    <col min="5" max="5" width="11" style="25" customWidth="1"/>
    <col min="6" max="6" width="9.85546875" style="25" customWidth="1"/>
    <col min="7" max="7" width="10.140625" style="25" bestFit="1" customWidth="1"/>
    <col min="8" max="8" width="9.7109375" style="25" bestFit="1" customWidth="1"/>
    <col min="9" max="9" width="9.42578125" style="25" customWidth="1"/>
    <col min="10" max="10" width="11.28515625" style="25" bestFit="1" customWidth="1"/>
    <col min="11" max="11" width="10.28515625" style="25" bestFit="1" customWidth="1"/>
    <col min="12" max="12" width="11.28515625" style="25" bestFit="1" customWidth="1"/>
    <col min="13" max="13" width="10.140625" style="25" bestFit="1" customWidth="1"/>
    <col min="14" max="14" width="11.140625" style="87" customWidth="1"/>
    <col min="15" max="15" width="10" style="25" customWidth="1"/>
    <col min="16" max="16" width="16" style="25" customWidth="1"/>
    <col min="17" max="17" width="14.140625" style="25" bestFit="1" customWidth="1"/>
    <col min="18" max="18" width="12.85546875" style="25" customWidth="1"/>
    <col min="19" max="19" width="16.5703125" style="127" customWidth="1"/>
    <col min="20" max="20" width="10.42578125" style="25" customWidth="1"/>
    <col min="21" max="21" width="10.42578125" style="80" bestFit="1" customWidth="1"/>
    <col min="22" max="23" width="9.42578125" style="80" bestFit="1" customWidth="1"/>
    <col min="24" max="25" width="9.140625" style="80"/>
    <col min="26" max="75" width="9.140625" style="87"/>
    <col min="76" max="16384" width="9.140625" style="25"/>
  </cols>
  <sheetData>
    <row r="1" spans="1:75">
      <c r="A1" s="207" t="s">
        <v>273</v>
      </c>
      <c r="B1" s="207"/>
      <c r="C1" s="78"/>
      <c r="D1" s="78"/>
      <c r="E1" s="79"/>
      <c r="F1" s="79"/>
      <c r="G1" s="79"/>
      <c r="H1" s="78"/>
      <c r="I1" s="78"/>
      <c r="J1" s="78"/>
      <c r="K1" s="78"/>
      <c r="L1" s="78"/>
      <c r="M1" s="78"/>
      <c r="N1" s="130"/>
    </row>
    <row r="2" spans="1:75" ht="104.25" customHeight="1">
      <c r="A2" s="8" t="s">
        <v>11</v>
      </c>
      <c r="B2" s="81" t="s">
        <v>260</v>
      </c>
      <c r="C2" s="71">
        <v>211</v>
      </c>
      <c r="D2" s="71">
        <v>213</v>
      </c>
      <c r="E2" s="153" t="s">
        <v>13</v>
      </c>
      <c r="F2" s="153" t="s">
        <v>267</v>
      </c>
      <c r="G2" s="153" t="s">
        <v>12</v>
      </c>
      <c r="H2" s="153" t="s">
        <v>14</v>
      </c>
      <c r="I2" s="153" t="s">
        <v>269</v>
      </c>
      <c r="J2" s="71" t="s">
        <v>15</v>
      </c>
      <c r="K2" s="73" t="s">
        <v>261</v>
      </c>
      <c r="L2" s="82" t="s">
        <v>296</v>
      </c>
      <c r="M2" s="139" t="s">
        <v>310</v>
      </c>
      <c r="N2" s="135" t="s">
        <v>297</v>
      </c>
      <c r="O2" s="136" t="s">
        <v>298</v>
      </c>
      <c r="P2" s="137" t="s">
        <v>312</v>
      </c>
      <c r="Q2" s="148" t="s">
        <v>307</v>
      </c>
      <c r="R2" s="149" t="s">
        <v>309</v>
      </c>
      <c r="S2" s="8" t="s">
        <v>313</v>
      </c>
      <c r="T2" s="43" t="s">
        <v>293</v>
      </c>
      <c r="U2" s="75"/>
      <c r="V2" s="76"/>
      <c r="W2" s="76"/>
    </row>
    <row r="3" spans="1:75" ht="15.75">
      <c r="A3" s="211" t="s">
        <v>265</v>
      </c>
      <c r="B3" s="212"/>
      <c r="C3" s="212"/>
      <c r="D3" s="212"/>
      <c r="E3" s="212"/>
      <c r="F3" s="212"/>
      <c r="G3" s="212"/>
      <c r="H3" s="212"/>
      <c r="I3" s="212"/>
      <c r="J3" s="212"/>
      <c r="K3" s="212"/>
      <c r="L3" s="212"/>
      <c r="M3" s="212"/>
      <c r="N3" s="212"/>
      <c r="O3" s="212"/>
      <c r="P3" s="212"/>
      <c r="Q3" s="212"/>
      <c r="R3" s="212"/>
      <c r="S3" s="212"/>
      <c r="T3" s="213"/>
      <c r="U3" s="85"/>
      <c r="V3" s="85"/>
    </row>
    <row r="4" spans="1:75" ht="18.75">
      <c r="A4" s="7" t="s">
        <v>66</v>
      </c>
      <c r="B4" s="89">
        <v>155</v>
      </c>
      <c r="C4" s="51">
        <v>741</v>
      </c>
      <c r="D4" s="51">
        <v>164.1</v>
      </c>
      <c r="E4" s="63">
        <v>203</v>
      </c>
      <c r="F4" s="63">
        <v>771.6</v>
      </c>
      <c r="G4" s="63">
        <v>78.7</v>
      </c>
      <c r="H4" s="64"/>
      <c r="I4" s="64"/>
      <c r="J4" s="42">
        <v>154</v>
      </c>
      <c r="K4" s="42">
        <f>665.4+51.6</f>
        <v>717</v>
      </c>
      <c r="L4" s="123">
        <f>ROUND(C4+D4+H4+J4+K4+F4+G4+E4,1)</f>
        <v>2829.4</v>
      </c>
      <c r="M4" s="42">
        <v>30.7</v>
      </c>
      <c r="N4" s="138">
        <f>E4+F4+G4+H4+I4</f>
        <v>1053.3</v>
      </c>
      <c r="O4" s="125">
        <v>99.3</v>
      </c>
      <c r="P4" s="109">
        <f>N4+O4</f>
        <v>1152.5999999999999</v>
      </c>
      <c r="Q4" s="39">
        <f t="shared" ref="Q4:Q67" si="0">ROUND(L4/B4,3)</f>
        <v>18.254000000000001</v>
      </c>
      <c r="R4" s="39">
        <f t="shared" ref="R4:R67" si="1">P4/B4</f>
        <v>7.436129032258064</v>
      </c>
      <c r="S4" s="128">
        <f>Q4/20.585</f>
        <v>0.88676220548943407</v>
      </c>
      <c r="T4" s="92">
        <f>L4+M4</f>
        <v>2860.1</v>
      </c>
      <c r="U4" s="85"/>
      <c r="V4" s="85"/>
      <c r="W4" s="77"/>
    </row>
    <row r="5" spans="1:75" s="107" customFormat="1" ht="18.75" hidden="1">
      <c r="A5" s="120">
        <v>16</v>
      </c>
      <c r="B5" s="106">
        <v>82</v>
      </c>
      <c r="C5" s="52">
        <v>741</v>
      </c>
      <c r="D5" s="52">
        <v>164.1</v>
      </c>
      <c r="E5" s="65">
        <v>294.7</v>
      </c>
      <c r="F5" s="65">
        <v>384.9</v>
      </c>
      <c r="G5" s="65">
        <v>57.1</v>
      </c>
      <c r="H5" s="66"/>
      <c r="I5" s="66"/>
      <c r="J5" s="90">
        <v>154</v>
      </c>
      <c r="K5" s="90">
        <f>896.2+69.4</f>
        <v>965.6</v>
      </c>
      <c r="L5" s="123">
        <f t="shared" ref="L5:L68" si="2">ROUND(C5+D5+H5+J5+K5+F5+G5+E5,1)</f>
        <v>2761.4</v>
      </c>
      <c r="M5" s="42">
        <v>31</v>
      </c>
      <c r="N5" s="138">
        <f t="shared" ref="N5:N68" si="3">E5+F5+G5+H5+I5</f>
        <v>736.69999999999993</v>
      </c>
      <c r="O5" s="125">
        <v>113.7</v>
      </c>
      <c r="P5" s="109">
        <f t="shared" ref="P5:P68" si="4">N5+O5</f>
        <v>850.4</v>
      </c>
      <c r="Q5" s="39">
        <f t="shared" si="0"/>
        <v>33.676000000000002</v>
      </c>
      <c r="R5" s="39">
        <f t="shared" si="1"/>
        <v>10.370731707317074</v>
      </c>
      <c r="S5" s="157">
        <f t="shared" ref="S5:S68" si="5">Q5/20.585</f>
        <v>1.6359485061938306</v>
      </c>
      <c r="T5" s="92">
        <f t="shared" ref="T5:T68" si="6">L5+M5</f>
        <v>2792.4</v>
      </c>
      <c r="U5" s="85"/>
      <c r="V5" s="85"/>
      <c r="W5" s="77"/>
      <c r="X5" s="80"/>
      <c r="Y5" s="80"/>
      <c r="Z5" s="87"/>
      <c r="AA5" s="87"/>
      <c r="AB5" s="87"/>
      <c r="AC5" s="87"/>
      <c r="AD5" s="87"/>
      <c r="AE5" s="87"/>
      <c r="AF5" s="87"/>
      <c r="AG5" s="87"/>
      <c r="AH5" s="87"/>
      <c r="AI5" s="87"/>
      <c r="AJ5" s="87"/>
      <c r="AK5" s="87"/>
      <c r="AL5" s="87"/>
      <c r="AM5" s="87"/>
      <c r="AN5" s="87"/>
      <c r="AO5" s="87"/>
      <c r="AP5" s="87"/>
      <c r="AQ5" s="87"/>
      <c r="AR5" s="87"/>
      <c r="AS5" s="87"/>
      <c r="AT5" s="87"/>
      <c r="AU5" s="87"/>
      <c r="AV5" s="87"/>
      <c r="AW5" s="87"/>
      <c r="AX5" s="87"/>
      <c r="AY5" s="87"/>
      <c r="AZ5" s="87"/>
      <c r="BA5" s="87"/>
      <c r="BB5" s="87"/>
      <c r="BC5" s="87"/>
      <c r="BD5" s="87"/>
      <c r="BE5" s="87"/>
      <c r="BF5" s="87"/>
      <c r="BG5" s="87"/>
      <c r="BH5" s="87"/>
      <c r="BI5" s="87"/>
      <c r="BJ5" s="87"/>
      <c r="BK5" s="87"/>
      <c r="BL5" s="87"/>
      <c r="BM5" s="87"/>
      <c r="BN5" s="87"/>
      <c r="BO5" s="87"/>
      <c r="BP5" s="87"/>
      <c r="BQ5" s="87"/>
      <c r="BR5" s="87"/>
      <c r="BS5" s="87"/>
      <c r="BT5" s="87"/>
      <c r="BU5" s="87"/>
      <c r="BV5" s="87"/>
      <c r="BW5" s="87"/>
    </row>
    <row r="6" spans="1:75" ht="18.75">
      <c r="A6" s="7" t="s">
        <v>67</v>
      </c>
      <c r="B6" s="89">
        <v>123</v>
      </c>
      <c r="C6" s="51">
        <v>647.20000000000005</v>
      </c>
      <c r="D6" s="51">
        <v>143.30000000000001</v>
      </c>
      <c r="E6" s="63">
        <v>275.10000000000002</v>
      </c>
      <c r="F6" s="63">
        <v>297.39999999999998</v>
      </c>
      <c r="G6" s="63">
        <v>82.4</v>
      </c>
      <c r="H6" s="64"/>
      <c r="I6" s="64"/>
      <c r="J6" s="108">
        <v>130</v>
      </c>
      <c r="K6" s="6">
        <f>527.2+40.8</f>
        <v>568</v>
      </c>
      <c r="L6" s="123">
        <f t="shared" si="2"/>
        <v>2143.4</v>
      </c>
      <c r="M6" s="42">
        <v>16.7</v>
      </c>
      <c r="N6" s="138">
        <f t="shared" si="3"/>
        <v>654.9</v>
      </c>
      <c r="O6" s="125">
        <v>94.5</v>
      </c>
      <c r="P6" s="109">
        <f t="shared" si="4"/>
        <v>749.4</v>
      </c>
      <c r="Q6" s="39">
        <f t="shared" si="0"/>
        <v>17.425999999999998</v>
      </c>
      <c r="R6" s="39">
        <f t="shared" si="1"/>
        <v>6.0926829268292684</v>
      </c>
      <c r="S6" s="128">
        <f t="shared" si="5"/>
        <v>0.84653874180228306</v>
      </c>
      <c r="T6" s="92">
        <f t="shared" si="6"/>
        <v>2160.1</v>
      </c>
      <c r="U6" s="85"/>
      <c r="V6" s="85"/>
      <c r="W6" s="77"/>
    </row>
    <row r="7" spans="1:75" ht="18.75">
      <c r="A7" s="7" t="s">
        <v>68</v>
      </c>
      <c r="B7" s="89">
        <v>183</v>
      </c>
      <c r="C7" s="51">
        <v>811.4</v>
      </c>
      <c r="D7" s="51">
        <v>179.7</v>
      </c>
      <c r="E7" s="63">
        <v>206.3</v>
      </c>
      <c r="F7" s="63">
        <v>350.6</v>
      </c>
      <c r="G7" s="63">
        <v>62.8</v>
      </c>
      <c r="H7" s="64"/>
      <c r="I7" s="64"/>
      <c r="J7" s="108">
        <v>154</v>
      </c>
      <c r="K7" s="6">
        <f>858.1+66.4</f>
        <v>924.5</v>
      </c>
      <c r="L7" s="123">
        <f t="shared" si="2"/>
        <v>2689.3</v>
      </c>
      <c r="M7" s="42">
        <v>24</v>
      </c>
      <c r="N7" s="138">
        <f t="shared" si="3"/>
        <v>619.70000000000005</v>
      </c>
      <c r="O7" s="125">
        <v>105.3</v>
      </c>
      <c r="P7" s="109">
        <f t="shared" si="4"/>
        <v>725</v>
      </c>
      <c r="Q7" s="39">
        <f t="shared" si="0"/>
        <v>14.696</v>
      </c>
      <c r="R7" s="39">
        <f t="shared" si="1"/>
        <v>3.9617486338797816</v>
      </c>
      <c r="S7" s="128">
        <f t="shared" si="5"/>
        <v>0.71391790138450328</v>
      </c>
      <c r="T7" s="92">
        <f t="shared" si="6"/>
        <v>2713.3</v>
      </c>
      <c r="U7" s="85"/>
      <c r="V7" s="85"/>
      <c r="W7" s="77"/>
    </row>
    <row r="8" spans="1:75" ht="18.75">
      <c r="A8" s="7" t="s">
        <v>69</v>
      </c>
      <c r="B8" s="89">
        <v>173</v>
      </c>
      <c r="C8" s="51">
        <v>741</v>
      </c>
      <c r="D8" s="51">
        <v>164.1</v>
      </c>
      <c r="E8" s="63">
        <v>278.3</v>
      </c>
      <c r="F8" s="63">
        <v>479.4</v>
      </c>
      <c r="G8" s="63">
        <v>48.3</v>
      </c>
      <c r="H8" s="64"/>
      <c r="I8" s="64"/>
      <c r="J8" s="108">
        <v>154</v>
      </c>
      <c r="K8" s="6">
        <f>745.3+57.7</f>
        <v>803</v>
      </c>
      <c r="L8" s="123">
        <f t="shared" si="2"/>
        <v>2668.1</v>
      </c>
      <c r="M8" s="42">
        <v>20.9</v>
      </c>
      <c r="N8" s="138">
        <f t="shared" si="3"/>
        <v>806</v>
      </c>
      <c r="O8" s="125">
        <v>96.6</v>
      </c>
      <c r="P8" s="109">
        <f t="shared" si="4"/>
        <v>902.6</v>
      </c>
      <c r="Q8" s="39">
        <f t="shared" si="0"/>
        <v>15.423</v>
      </c>
      <c r="R8" s="39">
        <f t="shared" si="1"/>
        <v>5.2173410404624283</v>
      </c>
      <c r="S8" s="128">
        <f t="shared" si="5"/>
        <v>0.74923487976682046</v>
      </c>
      <c r="T8" s="92">
        <f t="shared" si="6"/>
        <v>2689</v>
      </c>
      <c r="U8" s="85"/>
      <c r="V8" s="85"/>
      <c r="W8" s="77"/>
    </row>
    <row r="9" spans="1:75" ht="18.75">
      <c r="A9" s="7" t="s">
        <v>70</v>
      </c>
      <c r="B9" s="89">
        <v>207</v>
      </c>
      <c r="C9" s="51">
        <v>787.9</v>
      </c>
      <c r="D9" s="51">
        <v>174.5</v>
      </c>
      <c r="E9" s="63">
        <v>225.9</v>
      </c>
      <c r="F9" s="63">
        <v>537.1</v>
      </c>
      <c r="G9" s="63">
        <v>57.4</v>
      </c>
      <c r="H9" s="64"/>
      <c r="I9" s="64"/>
      <c r="J9" s="108">
        <v>154</v>
      </c>
      <c r="K9" s="6">
        <f>987.2+76.5</f>
        <v>1063.7</v>
      </c>
      <c r="L9" s="123">
        <f t="shared" si="2"/>
        <v>3000.5</v>
      </c>
      <c r="M9" s="42">
        <v>28.8</v>
      </c>
      <c r="N9" s="138">
        <f t="shared" si="3"/>
        <v>820.4</v>
      </c>
      <c r="O9" s="125">
        <v>119.3</v>
      </c>
      <c r="P9" s="109">
        <f t="shared" si="4"/>
        <v>939.69999999999993</v>
      </c>
      <c r="Q9" s="39">
        <f t="shared" si="0"/>
        <v>14.494999999999999</v>
      </c>
      <c r="R9" s="39">
        <f t="shared" si="1"/>
        <v>4.5396135265700481</v>
      </c>
      <c r="S9" s="128">
        <f t="shared" si="5"/>
        <v>0.70415350983726011</v>
      </c>
      <c r="T9" s="92">
        <f t="shared" si="6"/>
        <v>3029.3</v>
      </c>
      <c r="U9" s="85"/>
      <c r="V9" s="85"/>
      <c r="W9" s="77"/>
    </row>
    <row r="10" spans="1:75" ht="18.75">
      <c r="A10" s="7" t="s">
        <v>71</v>
      </c>
      <c r="B10" s="89">
        <v>203</v>
      </c>
      <c r="C10" s="51">
        <v>787.9</v>
      </c>
      <c r="D10" s="51">
        <v>174.5</v>
      </c>
      <c r="E10" s="63">
        <v>360.2</v>
      </c>
      <c r="F10" s="63">
        <v>594.79999999999995</v>
      </c>
      <c r="G10" s="63">
        <v>64.400000000000006</v>
      </c>
      <c r="H10" s="64"/>
      <c r="I10" s="64"/>
      <c r="J10" s="108">
        <v>154</v>
      </c>
      <c r="K10" s="6">
        <f>974.4+75.5</f>
        <v>1049.9000000000001</v>
      </c>
      <c r="L10" s="123">
        <f t="shared" si="2"/>
        <v>3185.7</v>
      </c>
      <c r="M10" s="42">
        <v>25.3</v>
      </c>
      <c r="N10" s="138">
        <f t="shared" si="3"/>
        <v>1019.4</v>
      </c>
      <c r="O10" s="125">
        <v>135.5</v>
      </c>
      <c r="P10" s="109">
        <f t="shared" si="4"/>
        <v>1154.9000000000001</v>
      </c>
      <c r="Q10" s="39">
        <f t="shared" si="0"/>
        <v>15.693</v>
      </c>
      <c r="R10" s="39">
        <f t="shared" si="1"/>
        <v>5.6891625615763548</v>
      </c>
      <c r="S10" s="128">
        <f t="shared" si="5"/>
        <v>0.76235122662132615</v>
      </c>
      <c r="T10" s="92">
        <f t="shared" si="6"/>
        <v>3211</v>
      </c>
      <c r="U10" s="85"/>
      <c r="V10" s="85"/>
      <c r="W10" s="77"/>
    </row>
    <row r="11" spans="1:75" ht="18.75">
      <c r="A11" s="7" t="s">
        <v>72</v>
      </c>
      <c r="B11" s="89">
        <v>188</v>
      </c>
      <c r="C11" s="51">
        <v>787.9</v>
      </c>
      <c r="D11" s="51">
        <v>174.5</v>
      </c>
      <c r="E11" s="63">
        <v>301.3</v>
      </c>
      <c r="F11" s="63">
        <v>474.1</v>
      </c>
      <c r="G11" s="63">
        <v>68.3</v>
      </c>
      <c r="H11" s="64"/>
      <c r="I11" s="64"/>
      <c r="J11" s="108">
        <v>154</v>
      </c>
      <c r="K11" s="6">
        <f>961.7+74.5</f>
        <v>1036.2</v>
      </c>
      <c r="L11" s="123">
        <f t="shared" si="2"/>
        <v>2996.3</v>
      </c>
      <c r="M11" s="42">
        <v>26.5</v>
      </c>
      <c r="N11" s="138">
        <f t="shared" si="3"/>
        <v>843.7</v>
      </c>
      <c r="O11" s="125">
        <v>120.1</v>
      </c>
      <c r="P11" s="109">
        <f t="shared" si="4"/>
        <v>963.80000000000007</v>
      </c>
      <c r="Q11" s="39">
        <f t="shared" si="0"/>
        <v>15.938000000000001</v>
      </c>
      <c r="R11" s="39">
        <f t="shared" si="1"/>
        <v>5.1265957446808512</v>
      </c>
      <c r="S11" s="128">
        <f t="shared" si="5"/>
        <v>0.77425309691522959</v>
      </c>
      <c r="T11" s="92">
        <f t="shared" si="6"/>
        <v>3022.8</v>
      </c>
      <c r="U11" s="85"/>
      <c r="V11" s="85"/>
      <c r="W11" s="77"/>
    </row>
    <row r="12" spans="1:75" ht="18.75">
      <c r="A12" s="7" t="s">
        <v>73</v>
      </c>
      <c r="B12" s="89">
        <v>180</v>
      </c>
      <c r="C12" s="51">
        <v>741</v>
      </c>
      <c r="D12" s="51">
        <v>164.1</v>
      </c>
      <c r="E12" s="63">
        <v>347.1</v>
      </c>
      <c r="F12" s="63">
        <v>497.6</v>
      </c>
      <c r="G12" s="63">
        <v>61.2</v>
      </c>
      <c r="H12" s="64"/>
      <c r="I12" s="64"/>
      <c r="J12" s="108">
        <v>154</v>
      </c>
      <c r="K12" s="6">
        <f>714.5+55.3</f>
        <v>769.8</v>
      </c>
      <c r="L12" s="123">
        <f t="shared" si="2"/>
        <v>2734.8</v>
      </c>
      <c r="M12" s="42">
        <v>38.1</v>
      </c>
      <c r="N12" s="138">
        <f t="shared" si="3"/>
        <v>905.90000000000009</v>
      </c>
      <c r="O12" s="125">
        <v>132.5</v>
      </c>
      <c r="P12" s="109">
        <f t="shared" si="4"/>
        <v>1038.4000000000001</v>
      </c>
      <c r="Q12" s="39">
        <f t="shared" si="0"/>
        <v>15.193</v>
      </c>
      <c r="R12" s="39">
        <f t="shared" si="1"/>
        <v>5.7688888888888892</v>
      </c>
      <c r="S12" s="128">
        <f t="shared" si="5"/>
        <v>0.73806169540927857</v>
      </c>
      <c r="T12" s="92">
        <f t="shared" si="6"/>
        <v>2772.9</v>
      </c>
      <c r="U12" s="85"/>
      <c r="V12" s="85"/>
      <c r="W12" s="77"/>
    </row>
    <row r="13" spans="1:75" s="107" customFormat="1" ht="18.75" hidden="1">
      <c r="A13" s="120">
        <v>75</v>
      </c>
      <c r="B13" s="106">
        <v>93</v>
      </c>
      <c r="C13" s="52">
        <v>741</v>
      </c>
      <c r="D13" s="52">
        <v>164.1</v>
      </c>
      <c r="E13" s="65">
        <v>294.7</v>
      </c>
      <c r="F13" s="65">
        <v>510.9</v>
      </c>
      <c r="G13" s="65">
        <v>52.7</v>
      </c>
      <c r="H13" s="66"/>
      <c r="I13" s="66"/>
      <c r="J13" s="96">
        <v>154</v>
      </c>
      <c r="K13" s="97">
        <f>516.3+39.9</f>
        <v>556.19999999999993</v>
      </c>
      <c r="L13" s="123">
        <f t="shared" si="2"/>
        <v>2473.6</v>
      </c>
      <c r="M13" s="42">
        <v>29.2</v>
      </c>
      <c r="N13" s="138">
        <f t="shared" si="3"/>
        <v>858.3</v>
      </c>
      <c r="O13" s="125">
        <v>114.3</v>
      </c>
      <c r="P13" s="109">
        <f t="shared" si="4"/>
        <v>972.59999999999991</v>
      </c>
      <c r="Q13" s="39">
        <f t="shared" si="0"/>
        <v>26.597999999999999</v>
      </c>
      <c r="R13" s="39">
        <f t="shared" si="1"/>
        <v>10.458064516129031</v>
      </c>
      <c r="S13" s="157">
        <f t="shared" si="5"/>
        <v>1.2921059023560844</v>
      </c>
      <c r="T13" s="92">
        <f t="shared" si="6"/>
        <v>2502.7999999999997</v>
      </c>
      <c r="U13" s="85"/>
      <c r="V13" s="80"/>
      <c r="W13" s="77"/>
      <c r="X13" s="80"/>
      <c r="Y13" s="80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</row>
    <row r="14" spans="1:75" s="107" customFormat="1" ht="18.75" hidden="1">
      <c r="A14" s="120">
        <v>80</v>
      </c>
      <c r="B14" s="106">
        <v>360</v>
      </c>
      <c r="C14" s="52">
        <v>1529</v>
      </c>
      <c r="D14" s="52">
        <v>338.5</v>
      </c>
      <c r="E14" s="65">
        <v>665.2</v>
      </c>
      <c r="F14" s="65">
        <v>1459.3</v>
      </c>
      <c r="G14" s="65">
        <v>112</v>
      </c>
      <c r="H14" s="66"/>
      <c r="I14" s="66"/>
      <c r="J14" s="90">
        <v>239</v>
      </c>
      <c r="K14" s="107">
        <f>1708.9+132.3</f>
        <v>1841.2</v>
      </c>
      <c r="L14" s="123">
        <f t="shared" si="2"/>
        <v>6184.2</v>
      </c>
      <c r="M14" s="42">
        <v>30.7</v>
      </c>
      <c r="N14" s="138">
        <f t="shared" si="3"/>
        <v>2236.5</v>
      </c>
      <c r="O14" s="125">
        <v>186</v>
      </c>
      <c r="P14" s="109">
        <f t="shared" si="4"/>
        <v>2422.5</v>
      </c>
      <c r="Q14" s="39">
        <f t="shared" si="0"/>
        <v>17.178000000000001</v>
      </c>
      <c r="R14" s="39">
        <f t="shared" si="1"/>
        <v>6.729166666666667</v>
      </c>
      <c r="S14" s="128">
        <f t="shared" si="5"/>
        <v>0.83449113432110755</v>
      </c>
      <c r="T14" s="92">
        <f t="shared" si="6"/>
        <v>6214.9</v>
      </c>
      <c r="U14" s="85"/>
      <c r="V14" s="80"/>
      <c r="W14" s="77"/>
      <c r="X14" s="80"/>
      <c r="Y14" s="80"/>
      <c r="Z14" s="87"/>
      <c r="AA14" s="87"/>
      <c r="AB14" s="87"/>
      <c r="AC14" s="87"/>
      <c r="AD14" s="87"/>
      <c r="AE14" s="87"/>
      <c r="AF14" s="87"/>
      <c r="AG14" s="87"/>
      <c r="AH14" s="87"/>
      <c r="AI14" s="87"/>
      <c r="AJ14" s="87"/>
      <c r="AK14" s="87"/>
      <c r="AL14" s="87"/>
      <c r="AM14" s="87"/>
      <c r="AN14" s="87"/>
      <c r="AO14" s="87"/>
      <c r="AP14" s="87"/>
      <c r="AQ14" s="87"/>
      <c r="AR14" s="87"/>
      <c r="AS14" s="87"/>
      <c r="AT14" s="87"/>
      <c r="AU14" s="87"/>
      <c r="AV14" s="87"/>
      <c r="AW14" s="87"/>
      <c r="AX14" s="87"/>
      <c r="AY14" s="87"/>
      <c r="AZ14" s="87"/>
      <c r="BA14" s="87"/>
      <c r="BB14" s="87"/>
      <c r="BC14" s="87"/>
      <c r="BD14" s="87"/>
      <c r="BE14" s="87"/>
      <c r="BF14" s="87"/>
      <c r="BG14" s="87"/>
      <c r="BH14" s="87"/>
      <c r="BI14" s="87"/>
      <c r="BJ14" s="87"/>
      <c r="BK14" s="87"/>
      <c r="BL14" s="87"/>
      <c r="BM14" s="87"/>
      <c r="BN14" s="87"/>
      <c r="BO14" s="87"/>
      <c r="BP14" s="87"/>
      <c r="BQ14" s="87"/>
      <c r="BR14" s="87"/>
      <c r="BS14" s="87"/>
      <c r="BT14" s="87"/>
      <c r="BU14" s="87"/>
      <c r="BV14" s="87"/>
      <c r="BW14" s="87"/>
    </row>
    <row r="15" spans="1:75" ht="18.75">
      <c r="A15" s="7" t="s">
        <v>74</v>
      </c>
      <c r="B15" s="89">
        <v>166</v>
      </c>
      <c r="C15" s="51">
        <v>741</v>
      </c>
      <c r="D15" s="51">
        <v>164.1</v>
      </c>
      <c r="E15" s="63">
        <v>397.1</v>
      </c>
      <c r="F15" s="63">
        <v>498.6</v>
      </c>
      <c r="G15" s="63">
        <v>50.5</v>
      </c>
      <c r="H15" s="64"/>
      <c r="I15" s="64"/>
      <c r="J15" s="108">
        <v>150</v>
      </c>
      <c r="K15" s="6">
        <f>663.5+51.4</f>
        <v>714.9</v>
      </c>
      <c r="L15" s="123">
        <f t="shared" si="2"/>
        <v>2716.2</v>
      </c>
      <c r="M15" s="42">
        <v>27.3</v>
      </c>
      <c r="N15" s="138">
        <f t="shared" si="3"/>
        <v>946.2</v>
      </c>
      <c r="O15" s="125">
        <v>84</v>
      </c>
      <c r="P15" s="109">
        <f t="shared" si="4"/>
        <v>1030.2</v>
      </c>
      <c r="Q15" s="39">
        <f t="shared" si="0"/>
        <v>16.363</v>
      </c>
      <c r="R15" s="39">
        <f t="shared" si="1"/>
        <v>6.2060240963855424</v>
      </c>
      <c r="S15" s="128">
        <f t="shared" si="5"/>
        <v>0.79489919844546997</v>
      </c>
      <c r="T15" s="92">
        <f t="shared" si="6"/>
        <v>2743.5</v>
      </c>
      <c r="U15" s="85"/>
      <c r="W15" s="77"/>
    </row>
    <row r="16" spans="1:75" s="107" customFormat="1" ht="18.75" hidden="1">
      <c r="A16" s="120">
        <v>85</v>
      </c>
      <c r="B16" s="106">
        <v>87</v>
      </c>
      <c r="C16" s="52">
        <v>741</v>
      </c>
      <c r="D16" s="52">
        <v>164.1</v>
      </c>
      <c r="E16" s="65">
        <v>275.10000000000002</v>
      </c>
      <c r="F16" s="65">
        <v>515.1</v>
      </c>
      <c r="G16" s="65">
        <v>41.5</v>
      </c>
      <c r="H16" s="66"/>
      <c r="I16" s="66"/>
      <c r="J16" s="96">
        <v>154</v>
      </c>
      <c r="K16" s="97">
        <f>667.2+51.6</f>
        <v>718.80000000000007</v>
      </c>
      <c r="L16" s="123">
        <f t="shared" si="2"/>
        <v>2609.6</v>
      </c>
      <c r="M16" s="42">
        <v>33.299999999999997</v>
      </c>
      <c r="N16" s="138">
        <f t="shared" si="3"/>
        <v>831.7</v>
      </c>
      <c r="O16" s="125">
        <v>95.2</v>
      </c>
      <c r="P16" s="109">
        <f t="shared" si="4"/>
        <v>926.90000000000009</v>
      </c>
      <c r="Q16" s="39">
        <f t="shared" si="0"/>
        <v>29.995000000000001</v>
      </c>
      <c r="R16" s="39">
        <f t="shared" si="1"/>
        <v>10.654022988505748</v>
      </c>
      <c r="S16" s="157">
        <f t="shared" si="5"/>
        <v>1.4571289774107359</v>
      </c>
      <c r="T16" s="92">
        <f t="shared" si="6"/>
        <v>2642.9</v>
      </c>
      <c r="U16" s="85"/>
      <c r="V16" s="80"/>
      <c r="W16" s="77"/>
      <c r="X16" s="80"/>
      <c r="Y16" s="80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</row>
    <row r="17" spans="1:75" s="107" customFormat="1" ht="18.75">
      <c r="A17" s="120">
        <v>104</v>
      </c>
      <c r="B17" s="106">
        <v>270</v>
      </c>
      <c r="C17" s="52">
        <v>1022.4</v>
      </c>
      <c r="D17" s="52">
        <v>226.4</v>
      </c>
      <c r="E17" s="65">
        <v>445.3</v>
      </c>
      <c r="F17" s="65">
        <f>904.3+116.1</f>
        <v>1020.4</v>
      </c>
      <c r="G17" s="65">
        <v>126.9</v>
      </c>
      <c r="H17" s="66"/>
      <c r="I17" s="66"/>
      <c r="J17" s="96">
        <v>177</v>
      </c>
      <c r="K17" s="97">
        <f>1243.5+96.3</f>
        <v>1339.8</v>
      </c>
      <c r="L17" s="123">
        <f t="shared" si="2"/>
        <v>4358.2</v>
      </c>
      <c r="M17" s="42">
        <v>56.7</v>
      </c>
      <c r="N17" s="138">
        <f t="shared" si="3"/>
        <v>1592.6000000000001</v>
      </c>
      <c r="O17" s="125">
        <v>122</v>
      </c>
      <c r="P17" s="109">
        <f t="shared" si="4"/>
        <v>1714.6000000000001</v>
      </c>
      <c r="Q17" s="39">
        <f t="shared" si="0"/>
        <v>16.140999999999998</v>
      </c>
      <c r="R17" s="39">
        <f t="shared" si="1"/>
        <v>6.3503703703703707</v>
      </c>
      <c r="S17" s="128">
        <f t="shared" si="5"/>
        <v>0.78411464658732077</v>
      </c>
      <c r="T17" s="92">
        <f t="shared" si="6"/>
        <v>4414.8999999999996</v>
      </c>
      <c r="U17" s="85"/>
      <c r="V17" s="80"/>
      <c r="W17" s="77"/>
      <c r="X17" s="80"/>
      <c r="Y17" s="80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</row>
    <row r="18" spans="1:75" s="107" customFormat="1" ht="18.75" hidden="1">
      <c r="A18" s="120">
        <v>106</v>
      </c>
      <c r="B18" s="106">
        <v>66</v>
      </c>
      <c r="C18" s="52">
        <v>694.1</v>
      </c>
      <c r="D18" s="52">
        <v>153.69999999999999</v>
      </c>
      <c r="E18" s="65">
        <v>219.4</v>
      </c>
      <c r="F18" s="65">
        <v>370.9</v>
      </c>
      <c r="G18" s="65">
        <v>38.1</v>
      </c>
      <c r="H18" s="66"/>
      <c r="I18" s="66"/>
      <c r="J18" s="96">
        <v>130</v>
      </c>
      <c r="K18" s="97">
        <f>354.5+27.5</f>
        <v>382</v>
      </c>
      <c r="L18" s="123">
        <f t="shared" si="2"/>
        <v>1988.2</v>
      </c>
      <c r="M18" s="42">
        <v>18.899999999999999</v>
      </c>
      <c r="N18" s="138">
        <f t="shared" si="3"/>
        <v>628.4</v>
      </c>
      <c r="O18" s="125">
        <v>107.8</v>
      </c>
      <c r="P18" s="109">
        <f t="shared" si="4"/>
        <v>736.19999999999993</v>
      </c>
      <c r="Q18" s="39">
        <f t="shared" si="0"/>
        <v>30.123999999999999</v>
      </c>
      <c r="R18" s="39">
        <f t="shared" si="1"/>
        <v>11.154545454545454</v>
      </c>
      <c r="S18" s="157">
        <f t="shared" si="5"/>
        <v>1.4633956764634442</v>
      </c>
      <c r="T18" s="92">
        <f t="shared" si="6"/>
        <v>2007.1000000000001</v>
      </c>
      <c r="U18" s="85"/>
      <c r="V18" s="80"/>
      <c r="W18" s="77"/>
      <c r="X18" s="80"/>
      <c r="Y18" s="80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  <c r="BW18" s="87"/>
    </row>
    <row r="19" spans="1:75" ht="18.75" hidden="1">
      <c r="A19" s="7" t="s">
        <v>75</v>
      </c>
      <c r="B19" s="89">
        <v>308</v>
      </c>
      <c r="C19" s="51">
        <v>1482.1</v>
      </c>
      <c r="D19" s="51">
        <v>328.2</v>
      </c>
      <c r="E19" s="63">
        <v>537.1</v>
      </c>
      <c r="F19" s="63">
        <v>1313.8</v>
      </c>
      <c r="G19" s="63">
        <v>120.4</v>
      </c>
      <c r="H19" s="64"/>
      <c r="I19" s="64"/>
      <c r="J19" s="108">
        <v>217</v>
      </c>
      <c r="K19" s="6">
        <f>1368.9+106</f>
        <v>1474.9</v>
      </c>
      <c r="L19" s="123">
        <f t="shared" si="2"/>
        <v>5473.5</v>
      </c>
      <c r="M19" s="42">
        <v>68.5</v>
      </c>
      <c r="N19" s="138">
        <f t="shared" si="3"/>
        <v>1971.3000000000002</v>
      </c>
      <c r="O19" s="125">
        <v>153.4</v>
      </c>
      <c r="P19" s="109">
        <f t="shared" si="4"/>
        <v>2124.7000000000003</v>
      </c>
      <c r="Q19" s="39">
        <f t="shared" si="0"/>
        <v>17.771000000000001</v>
      </c>
      <c r="R19" s="39">
        <f t="shared" si="1"/>
        <v>6.8983766233766239</v>
      </c>
      <c r="S19" s="128">
        <f t="shared" si="5"/>
        <v>0.86329851833859605</v>
      </c>
      <c r="T19" s="92">
        <f t="shared" si="6"/>
        <v>5542</v>
      </c>
      <c r="U19" s="85"/>
      <c r="W19" s="77"/>
    </row>
    <row r="20" spans="1:75" ht="18.75">
      <c r="A20" s="7" t="s">
        <v>76</v>
      </c>
      <c r="B20" s="89">
        <v>176</v>
      </c>
      <c r="C20" s="51">
        <v>741</v>
      </c>
      <c r="D20" s="51">
        <v>164.1</v>
      </c>
      <c r="E20" s="63">
        <v>314.3</v>
      </c>
      <c r="F20" s="63">
        <v>665.7</v>
      </c>
      <c r="G20" s="63">
        <v>131.69999999999999</v>
      </c>
      <c r="H20" s="64"/>
      <c r="I20" s="64"/>
      <c r="J20" s="108">
        <v>154</v>
      </c>
      <c r="K20" s="6">
        <f>765.3+59.2</f>
        <v>824.5</v>
      </c>
      <c r="L20" s="123">
        <f t="shared" si="2"/>
        <v>2995.3</v>
      </c>
      <c r="M20" s="42">
        <v>23.5</v>
      </c>
      <c r="N20" s="138">
        <f t="shared" si="3"/>
        <v>1111.7</v>
      </c>
      <c r="O20" s="125">
        <v>101.7</v>
      </c>
      <c r="P20" s="109">
        <f t="shared" si="4"/>
        <v>1213.4000000000001</v>
      </c>
      <c r="Q20" s="39">
        <f t="shared" si="0"/>
        <v>17.018999999999998</v>
      </c>
      <c r="R20" s="39">
        <f t="shared" si="1"/>
        <v>6.894318181818182</v>
      </c>
      <c r="S20" s="128">
        <f t="shared" si="5"/>
        <v>0.82676706339567629</v>
      </c>
      <c r="T20" s="92">
        <f t="shared" si="6"/>
        <v>3018.8</v>
      </c>
      <c r="U20" s="85"/>
      <c r="W20" s="77"/>
    </row>
    <row r="21" spans="1:75" s="107" customFormat="1" ht="18.75">
      <c r="A21" s="120">
        <v>123</v>
      </c>
      <c r="B21" s="106">
        <v>181</v>
      </c>
      <c r="C21" s="52">
        <v>787.9</v>
      </c>
      <c r="D21" s="52">
        <v>174.5</v>
      </c>
      <c r="E21" s="65">
        <v>399.5</v>
      </c>
      <c r="F21" s="65">
        <v>600.1</v>
      </c>
      <c r="G21" s="65">
        <v>68.900000000000006</v>
      </c>
      <c r="H21" s="66"/>
      <c r="I21" s="66"/>
      <c r="J21" s="96">
        <v>154</v>
      </c>
      <c r="K21" s="97">
        <f>736.3+57</f>
        <v>793.3</v>
      </c>
      <c r="L21" s="123">
        <f t="shared" si="2"/>
        <v>2978.2</v>
      </c>
      <c r="M21" s="42">
        <v>24.8</v>
      </c>
      <c r="N21" s="138">
        <f t="shared" si="3"/>
        <v>1068.5</v>
      </c>
      <c r="O21" s="125">
        <v>134.5</v>
      </c>
      <c r="P21" s="109">
        <f t="shared" si="4"/>
        <v>1203</v>
      </c>
      <c r="Q21" s="39">
        <f t="shared" si="0"/>
        <v>16.454000000000001</v>
      </c>
      <c r="R21" s="39">
        <f t="shared" si="1"/>
        <v>6.6464088397790055</v>
      </c>
      <c r="S21" s="128">
        <f t="shared" si="5"/>
        <v>0.79931989312606266</v>
      </c>
      <c r="T21" s="92">
        <f t="shared" si="6"/>
        <v>3003</v>
      </c>
      <c r="U21" s="85"/>
      <c r="V21" s="80"/>
      <c r="W21" s="77"/>
      <c r="X21" s="80"/>
      <c r="Y21" s="80"/>
      <c r="Z21" s="87"/>
      <c r="AA21" s="87"/>
      <c r="AB21" s="87"/>
      <c r="AC21" s="87"/>
      <c r="AD21" s="87"/>
      <c r="AE21" s="87"/>
      <c r="AF21" s="87"/>
      <c r="AG21" s="87"/>
      <c r="AH21" s="87"/>
      <c r="AI21" s="87"/>
      <c r="AJ21" s="87"/>
      <c r="AK21" s="87"/>
      <c r="AL21" s="87"/>
      <c r="AM21" s="87"/>
      <c r="AN21" s="87"/>
      <c r="AO21" s="87"/>
      <c r="AP21" s="87"/>
      <c r="AQ21" s="87"/>
      <c r="AR21" s="87"/>
      <c r="AS21" s="87"/>
      <c r="AT21" s="87"/>
      <c r="AU21" s="87"/>
      <c r="AV21" s="87"/>
      <c r="AW21" s="87"/>
      <c r="AX21" s="87"/>
      <c r="AY21" s="87"/>
      <c r="AZ21" s="87"/>
      <c r="BA21" s="87"/>
      <c r="BB21" s="87"/>
      <c r="BC21" s="87"/>
      <c r="BD21" s="87"/>
      <c r="BE21" s="87"/>
      <c r="BF21" s="87"/>
      <c r="BG21" s="87"/>
      <c r="BH21" s="87"/>
      <c r="BI21" s="87"/>
      <c r="BJ21" s="87"/>
      <c r="BK21" s="87"/>
      <c r="BL21" s="87"/>
      <c r="BM21" s="87"/>
      <c r="BN21" s="87"/>
      <c r="BO21" s="87"/>
      <c r="BP21" s="87"/>
      <c r="BQ21" s="87"/>
      <c r="BR21" s="87"/>
      <c r="BS21" s="87"/>
      <c r="BT21" s="87"/>
      <c r="BU21" s="87"/>
      <c r="BV21" s="87"/>
      <c r="BW21" s="87"/>
    </row>
    <row r="22" spans="1:75" ht="18.75">
      <c r="A22" s="7" t="s">
        <v>77</v>
      </c>
      <c r="B22" s="89">
        <v>215</v>
      </c>
      <c r="C22" s="51">
        <v>787.9</v>
      </c>
      <c r="D22" s="51">
        <v>174.5</v>
      </c>
      <c r="E22" s="63">
        <v>311.10000000000002</v>
      </c>
      <c r="F22" s="63">
        <v>790.8</v>
      </c>
      <c r="G22" s="63">
        <v>49.1</v>
      </c>
      <c r="H22" s="64"/>
      <c r="I22" s="64"/>
      <c r="J22" s="108">
        <v>154</v>
      </c>
      <c r="K22" s="6">
        <f>885.3+68.5</f>
        <v>953.8</v>
      </c>
      <c r="L22" s="123">
        <f t="shared" si="2"/>
        <v>3221.2</v>
      </c>
      <c r="M22" s="42">
        <v>34.9</v>
      </c>
      <c r="N22" s="138">
        <f t="shared" si="3"/>
        <v>1151</v>
      </c>
      <c r="O22" s="125">
        <v>122.9</v>
      </c>
      <c r="P22" s="109">
        <f t="shared" si="4"/>
        <v>1273.9000000000001</v>
      </c>
      <c r="Q22" s="39">
        <f t="shared" si="0"/>
        <v>14.981999999999999</v>
      </c>
      <c r="R22" s="39">
        <f t="shared" si="1"/>
        <v>5.9251162790697682</v>
      </c>
      <c r="S22" s="128">
        <f t="shared" si="5"/>
        <v>0.72781151323779447</v>
      </c>
      <c r="T22" s="92">
        <f t="shared" si="6"/>
        <v>3256.1</v>
      </c>
      <c r="U22" s="85"/>
      <c r="W22" s="77"/>
    </row>
    <row r="23" spans="1:75" ht="18.75">
      <c r="A23" s="7" t="s">
        <v>78</v>
      </c>
      <c r="B23" s="89">
        <v>177</v>
      </c>
      <c r="C23" s="51">
        <v>787.9</v>
      </c>
      <c r="D23" s="51">
        <v>174.5</v>
      </c>
      <c r="E23" s="63">
        <v>360.2</v>
      </c>
      <c r="F23" s="63">
        <v>657.9</v>
      </c>
      <c r="G23" s="63">
        <v>97.2</v>
      </c>
      <c r="H23" s="64"/>
      <c r="I23" s="64"/>
      <c r="J23" s="108">
        <v>154</v>
      </c>
      <c r="K23" s="6">
        <f>703.5+54.5</f>
        <v>758</v>
      </c>
      <c r="L23" s="123">
        <f t="shared" si="2"/>
        <v>2989.7</v>
      </c>
      <c r="M23" s="42">
        <v>30.7</v>
      </c>
      <c r="N23" s="138">
        <f t="shared" si="3"/>
        <v>1115.3</v>
      </c>
      <c r="O23" s="125">
        <v>99.1</v>
      </c>
      <c r="P23" s="109">
        <f t="shared" si="4"/>
        <v>1214.3999999999999</v>
      </c>
      <c r="Q23" s="39">
        <f t="shared" si="0"/>
        <v>16.890999999999998</v>
      </c>
      <c r="R23" s="39">
        <f t="shared" si="1"/>
        <v>6.8610169491525417</v>
      </c>
      <c r="S23" s="128">
        <f t="shared" si="5"/>
        <v>0.82054894340539219</v>
      </c>
      <c r="T23" s="92">
        <f t="shared" si="6"/>
        <v>3020.3999999999996</v>
      </c>
      <c r="U23" s="85"/>
      <c r="W23" s="77"/>
    </row>
    <row r="24" spans="1:75" ht="18.75">
      <c r="A24" s="7" t="s">
        <v>79</v>
      </c>
      <c r="B24" s="89">
        <v>179</v>
      </c>
      <c r="C24" s="51">
        <v>741</v>
      </c>
      <c r="D24" s="51">
        <v>164.1</v>
      </c>
      <c r="E24" s="63">
        <v>394.6</v>
      </c>
      <c r="F24" s="63">
        <v>650.9</v>
      </c>
      <c r="G24" s="63">
        <v>80.099999999999994</v>
      </c>
      <c r="H24" s="64"/>
      <c r="I24" s="64"/>
      <c r="J24" s="108">
        <v>154</v>
      </c>
      <c r="K24" s="6">
        <f>839.9+65</f>
        <v>904.9</v>
      </c>
      <c r="L24" s="123">
        <f t="shared" si="2"/>
        <v>3089.6</v>
      </c>
      <c r="M24" s="42">
        <v>69</v>
      </c>
      <c r="N24" s="138">
        <f t="shared" si="3"/>
        <v>1125.5999999999999</v>
      </c>
      <c r="O24" s="125">
        <v>126.2</v>
      </c>
      <c r="P24" s="109">
        <f t="shared" si="4"/>
        <v>1251.8</v>
      </c>
      <c r="Q24" s="39">
        <f t="shared" si="0"/>
        <v>17.260000000000002</v>
      </c>
      <c r="R24" s="39">
        <f t="shared" si="1"/>
        <v>6.993296089385475</v>
      </c>
      <c r="S24" s="128">
        <f t="shared" si="5"/>
        <v>0.8384746174398835</v>
      </c>
      <c r="T24" s="92">
        <f t="shared" si="6"/>
        <v>3158.6</v>
      </c>
      <c r="U24" s="85"/>
      <c r="W24" s="77"/>
    </row>
    <row r="25" spans="1:75" s="107" customFormat="1" ht="18.75" hidden="1">
      <c r="A25" s="120">
        <v>139</v>
      </c>
      <c r="B25" s="106">
        <v>92</v>
      </c>
      <c r="C25" s="52">
        <v>741</v>
      </c>
      <c r="D25" s="52">
        <v>164.1</v>
      </c>
      <c r="E25" s="65">
        <v>340.6</v>
      </c>
      <c r="F25" s="65">
        <v>519.70000000000005</v>
      </c>
      <c r="G25" s="65">
        <v>48</v>
      </c>
      <c r="H25" s="66"/>
      <c r="I25" s="66"/>
      <c r="J25" s="96">
        <v>154</v>
      </c>
      <c r="K25" s="97">
        <f>527.2+40.8</f>
        <v>568</v>
      </c>
      <c r="L25" s="123">
        <f t="shared" si="2"/>
        <v>2535.4</v>
      </c>
      <c r="M25" s="42">
        <v>31.3</v>
      </c>
      <c r="N25" s="138">
        <f t="shared" si="3"/>
        <v>908.30000000000007</v>
      </c>
      <c r="O25" s="125">
        <v>110.7</v>
      </c>
      <c r="P25" s="109">
        <f t="shared" si="4"/>
        <v>1019.0000000000001</v>
      </c>
      <c r="Q25" s="39">
        <f t="shared" si="0"/>
        <v>27.559000000000001</v>
      </c>
      <c r="R25" s="39">
        <f t="shared" si="1"/>
        <v>11.07608695652174</v>
      </c>
      <c r="S25" s="157">
        <f t="shared" si="5"/>
        <v>1.3387903813456401</v>
      </c>
      <c r="T25" s="92">
        <f t="shared" si="6"/>
        <v>2566.7000000000003</v>
      </c>
      <c r="U25" s="85"/>
      <c r="V25" s="80"/>
      <c r="W25" s="77"/>
      <c r="X25" s="80"/>
      <c r="Y25" s="80"/>
      <c r="Z25" s="87"/>
      <c r="AA25" s="87"/>
      <c r="AB25" s="87"/>
      <c r="AC25" s="87"/>
      <c r="AD25" s="87"/>
      <c r="AE25" s="87"/>
      <c r="AF25" s="87"/>
      <c r="AG25" s="87"/>
      <c r="AH25" s="87"/>
      <c r="AI25" s="87"/>
      <c r="AJ25" s="87"/>
      <c r="AK25" s="87"/>
      <c r="AL25" s="87"/>
      <c r="AM25" s="87"/>
      <c r="AN25" s="87"/>
      <c r="AO25" s="87"/>
      <c r="AP25" s="87"/>
      <c r="AQ25" s="87"/>
      <c r="AR25" s="87"/>
      <c r="AS25" s="87"/>
      <c r="AT25" s="87"/>
      <c r="AU25" s="87"/>
      <c r="AV25" s="87"/>
      <c r="AW25" s="87"/>
      <c r="AX25" s="87"/>
      <c r="AY25" s="87"/>
      <c r="AZ25" s="87"/>
      <c r="BA25" s="87"/>
      <c r="BB25" s="87"/>
      <c r="BC25" s="87"/>
      <c r="BD25" s="87"/>
      <c r="BE25" s="87"/>
      <c r="BF25" s="87"/>
      <c r="BG25" s="87"/>
      <c r="BH25" s="87"/>
      <c r="BI25" s="87"/>
      <c r="BJ25" s="87"/>
      <c r="BK25" s="87"/>
      <c r="BL25" s="87"/>
      <c r="BM25" s="87"/>
      <c r="BN25" s="87"/>
      <c r="BO25" s="87"/>
      <c r="BP25" s="87"/>
      <c r="BQ25" s="87"/>
      <c r="BR25" s="87"/>
      <c r="BS25" s="87"/>
      <c r="BT25" s="87"/>
      <c r="BU25" s="87"/>
      <c r="BV25" s="87"/>
      <c r="BW25" s="87"/>
    </row>
    <row r="26" spans="1:75" ht="18.75">
      <c r="A26" s="7" t="s">
        <v>80</v>
      </c>
      <c r="B26" s="89">
        <v>212</v>
      </c>
      <c r="C26" s="51">
        <v>881.7</v>
      </c>
      <c r="D26" s="51">
        <v>195.2</v>
      </c>
      <c r="E26" s="63">
        <v>585.70000000000005</v>
      </c>
      <c r="F26" s="63">
        <v>829.3</v>
      </c>
      <c r="G26" s="63">
        <v>93.6</v>
      </c>
      <c r="H26" s="64"/>
      <c r="I26" s="64"/>
      <c r="J26" s="108">
        <v>154</v>
      </c>
      <c r="K26" s="6">
        <f>816.2+63.2</f>
        <v>879.40000000000009</v>
      </c>
      <c r="L26" s="123">
        <f t="shared" si="2"/>
        <v>3618.9</v>
      </c>
      <c r="M26" s="42">
        <v>32.799999999999997</v>
      </c>
      <c r="N26" s="138">
        <f t="shared" si="3"/>
        <v>1508.6</v>
      </c>
      <c r="O26" s="125">
        <v>127.5</v>
      </c>
      <c r="P26" s="109">
        <f t="shared" si="4"/>
        <v>1636.1</v>
      </c>
      <c r="Q26" s="39">
        <f t="shared" si="0"/>
        <v>17.07</v>
      </c>
      <c r="R26" s="39">
        <f t="shared" si="1"/>
        <v>7.7174528301886784</v>
      </c>
      <c r="S26" s="128">
        <f t="shared" si="5"/>
        <v>0.8292445955793053</v>
      </c>
      <c r="T26" s="92">
        <f t="shared" si="6"/>
        <v>3651.7000000000003</v>
      </c>
      <c r="U26" s="85"/>
      <c r="W26" s="77"/>
    </row>
    <row r="27" spans="1:75" ht="18.75">
      <c r="A27" s="7" t="s">
        <v>81</v>
      </c>
      <c r="B27" s="89">
        <v>179</v>
      </c>
      <c r="C27" s="51">
        <v>741</v>
      </c>
      <c r="D27" s="51">
        <v>164.1</v>
      </c>
      <c r="E27" s="63">
        <v>340.6</v>
      </c>
      <c r="F27" s="63">
        <v>741.9</v>
      </c>
      <c r="G27" s="63">
        <v>83.4</v>
      </c>
      <c r="H27" s="64"/>
      <c r="I27" s="64"/>
      <c r="J27" s="108">
        <v>154</v>
      </c>
      <c r="K27" s="6">
        <f>874.4+67.8</f>
        <v>942.19999999999993</v>
      </c>
      <c r="L27" s="123">
        <f t="shared" si="2"/>
        <v>3167.2</v>
      </c>
      <c r="M27" s="42">
        <v>40</v>
      </c>
      <c r="N27" s="138">
        <f t="shared" si="3"/>
        <v>1165.9000000000001</v>
      </c>
      <c r="O27" s="125">
        <v>107.1</v>
      </c>
      <c r="P27" s="109">
        <f t="shared" si="4"/>
        <v>1273</v>
      </c>
      <c r="Q27" s="39">
        <f t="shared" si="0"/>
        <v>17.693999999999999</v>
      </c>
      <c r="R27" s="39">
        <f t="shared" si="1"/>
        <v>7.1117318435754191</v>
      </c>
      <c r="S27" s="128">
        <f t="shared" si="5"/>
        <v>0.85955793053194063</v>
      </c>
      <c r="T27" s="92">
        <f t="shared" si="6"/>
        <v>3207.2</v>
      </c>
      <c r="U27" s="85"/>
      <c r="W27" s="77"/>
    </row>
    <row r="28" spans="1:75" ht="18.75">
      <c r="A28" s="7" t="s">
        <v>82</v>
      </c>
      <c r="B28" s="89">
        <v>195</v>
      </c>
      <c r="C28" s="51">
        <v>787.9</v>
      </c>
      <c r="D28" s="51">
        <v>174.5</v>
      </c>
      <c r="E28" s="63">
        <v>281.60000000000002</v>
      </c>
      <c r="F28" s="63">
        <v>627.5</v>
      </c>
      <c r="G28" s="63">
        <v>80.400000000000006</v>
      </c>
      <c r="H28" s="64"/>
      <c r="I28" s="64"/>
      <c r="J28" s="108">
        <v>154</v>
      </c>
      <c r="K28" s="6">
        <f>834.4+64.7</f>
        <v>899.1</v>
      </c>
      <c r="L28" s="123">
        <f t="shared" si="2"/>
        <v>3005</v>
      </c>
      <c r="M28" s="42">
        <v>37.799999999999997</v>
      </c>
      <c r="N28" s="138">
        <f t="shared" si="3"/>
        <v>989.5</v>
      </c>
      <c r="O28" s="125">
        <v>118.5</v>
      </c>
      <c r="P28" s="109">
        <f t="shared" si="4"/>
        <v>1108</v>
      </c>
      <c r="Q28" s="39">
        <f t="shared" si="0"/>
        <v>15.41</v>
      </c>
      <c r="R28" s="39">
        <f t="shared" si="1"/>
        <v>5.6820512820512823</v>
      </c>
      <c r="S28" s="128">
        <f t="shared" si="5"/>
        <v>0.74860335195530725</v>
      </c>
      <c r="T28" s="92">
        <f t="shared" si="6"/>
        <v>3042.8</v>
      </c>
      <c r="U28" s="85"/>
      <c r="W28" s="77"/>
    </row>
    <row r="29" spans="1:75" s="107" customFormat="1" ht="18.75">
      <c r="A29" s="120">
        <v>153</v>
      </c>
      <c r="B29" s="106">
        <v>177</v>
      </c>
      <c r="C29" s="52">
        <v>834.8</v>
      </c>
      <c r="D29" s="52">
        <v>184.8</v>
      </c>
      <c r="E29" s="65">
        <v>358.4</v>
      </c>
      <c r="F29" s="65">
        <v>581.6</v>
      </c>
      <c r="G29" s="65">
        <v>89</v>
      </c>
      <c r="H29" s="66"/>
      <c r="I29" s="66"/>
      <c r="J29" s="96">
        <v>154</v>
      </c>
      <c r="K29" s="97">
        <f>827.1+64</f>
        <v>891.1</v>
      </c>
      <c r="L29" s="123">
        <f t="shared" si="2"/>
        <v>3093.7</v>
      </c>
      <c r="M29" s="42">
        <v>38.200000000000003</v>
      </c>
      <c r="N29" s="138">
        <f t="shared" si="3"/>
        <v>1029</v>
      </c>
      <c r="O29" s="125">
        <v>93</v>
      </c>
      <c r="P29" s="109">
        <f t="shared" si="4"/>
        <v>1122</v>
      </c>
      <c r="Q29" s="39">
        <f t="shared" si="0"/>
        <v>17.478999999999999</v>
      </c>
      <c r="R29" s="39">
        <f t="shared" si="1"/>
        <v>6.3389830508474576</v>
      </c>
      <c r="S29" s="128">
        <f t="shared" si="5"/>
        <v>0.84911343211076018</v>
      </c>
      <c r="T29" s="92">
        <f t="shared" si="6"/>
        <v>3131.8999999999996</v>
      </c>
      <c r="U29" s="85"/>
      <c r="V29" s="80"/>
      <c r="W29" s="77"/>
      <c r="X29" s="80"/>
      <c r="Y29" s="80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  <c r="BW29" s="87"/>
    </row>
    <row r="30" spans="1:75" ht="18.75">
      <c r="A30" s="7" t="s">
        <v>83</v>
      </c>
      <c r="B30" s="89">
        <v>195</v>
      </c>
      <c r="C30" s="51">
        <v>811.4</v>
      </c>
      <c r="D30" s="51">
        <v>179.7</v>
      </c>
      <c r="E30" s="63">
        <v>375</v>
      </c>
      <c r="F30" s="63">
        <v>598.4</v>
      </c>
      <c r="G30" s="63">
        <v>71.8</v>
      </c>
      <c r="H30" s="64"/>
      <c r="I30" s="64"/>
      <c r="J30" s="108">
        <v>154</v>
      </c>
      <c r="K30" s="6">
        <f>776.3+60.1</f>
        <v>836.4</v>
      </c>
      <c r="L30" s="123">
        <f t="shared" si="2"/>
        <v>3026.7</v>
      </c>
      <c r="M30" s="42">
        <v>38.4</v>
      </c>
      <c r="N30" s="138">
        <f t="shared" si="3"/>
        <v>1045.2</v>
      </c>
      <c r="O30" s="125">
        <v>129.69999999999999</v>
      </c>
      <c r="P30" s="109">
        <f t="shared" si="4"/>
        <v>1174.9000000000001</v>
      </c>
      <c r="Q30" s="39">
        <f t="shared" si="0"/>
        <v>15.522</v>
      </c>
      <c r="R30" s="39">
        <f t="shared" si="1"/>
        <v>6.0251282051282056</v>
      </c>
      <c r="S30" s="128">
        <f t="shared" si="5"/>
        <v>0.75404420694680596</v>
      </c>
      <c r="T30" s="92">
        <f t="shared" si="6"/>
        <v>3065.1</v>
      </c>
      <c r="U30" s="85"/>
      <c r="W30" s="77"/>
    </row>
    <row r="31" spans="1:75" ht="18.75">
      <c r="A31" s="7" t="s">
        <v>84</v>
      </c>
      <c r="B31" s="89">
        <v>179</v>
      </c>
      <c r="C31" s="51">
        <v>741</v>
      </c>
      <c r="D31" s="51">
        <v>164.1</v>
      </c>
      <c r="E31" s="63">
        <v>360.2</v>
      </c>
      <c r="F31" s="63">
        <f>716.3+94.8</f>
        <v>811.09999999999991</v>
      </c>
      <c r="G31" s="63">
        <v>90</v>
      </c>
      <c r="H31" s="64"/>
      <c r="I31" s="64"/>
      <c r="J31" s="108">
        <v>154</v>
      </c>
      <c r="K31" s="6">
        <f>836.3+64.7</f>
        <v>901</v>
      </c>
      <c r="L31" s="123">
        <f t="shared" si="2"/>
        <v>3221.4</v>
      </c>
      <c r="M31" s="42">
        <v>41.6</v>
      </c>
      <c r="N31" s="138">
        <f t="shared" si="3"/>
        <v>1261.3</v>
      </c>
      <c r="O31" s="125">
        <v>113.7</v>
      </c>
      <c r="P31" s="109">
        <f t="shared" si="4"/>
        <v>1375</v>
      </c>
      <c r="Q31" s="39">
        <f t="shared" si="0"/>
        <v>17.997</v>
      </c>
      <c r="R31" s="39">
        <f t="shared" si="1"/>
        <v>7.6815642458100557</v>
      </c>
      <c r="S31" s="128">
        <f t="shared" si="5"/>
        <v>0.8742773864464416</v>
      </c>
      <c r="T31" s="92">
        <f t="shared" si="6"/>
        <v>3263</v>
      </c>
      <c r="U31" s="85"/>
      <c r="W31" s="77"/>
    </row>
    <row r="32" spans="1:75" s="107" customFormat="1" ht="18.75">
      <c r="A32" s="120">
        <v>167</v>
      </c>
      <c r="B32" s="106">
        <v>179</v>
      </c>
      <c r="C32" s="52">
        <v>811.4</v>
      </c>
      <c r="D32" s="52">
        <v>179.7</v>
      </c>
      <c r="E32" s="65">
        <v>385.4</v>
      </c>
      <c r="F32" s="65">
        <f>641+82.7</f>
        <v>723.7</v>
      </c>
      <c r="G32" s="65">
        <v>79.7</v>
      </c>
      <c r="H32" s="66"/>
      <c r="I32" s="66"/>
      <c r="J32" s="96">
        <v>154</v>
      </c>
      <c r="K32" s="97">
        <f>732.6+56.7</f>
        <v>789.30000000000007</v>
      </c>
      <c r="L32" s="123">
        <f t="shared" si="2"/>
        <v>3123.2</v>
      </c>
      <c r="M32" s="42">
        <v>35.9</v>
      </c>
      <c r="N32" s="138">
        <f t="shared" si="3"/>
        <v>1188.8</v>
      </c>
      <c r="O32" s="125">
        <v>127.4</v>
      </c>
      <c r="P32" s="109">
        <f t="shared" si="4"/>
        <v>1316.2</v>
      </c>
      <c r="Q32" s="39">
        <f t="shared" si="0"/>
        <v>17.448</v>
      </c>
      <c r="R32" s="39">
        <f t="shared" si="1"/>
        <v>7.3530726256983243</v>
      </c>
      <c r="S32" s="128">
        <f t="shared" si="5"/>
        <v>0.84760748117561324</v>
      </c>
      <c r="T32" s="92">
        <f t="shared" si="6"/>
        <v>3159.1</v>
      </c>
      <c r="U32" s="85"/>
      <c r="V32" s="80"/>
      <c r="W32" s="77"/>
      <c r="X32" s="80"/>
      <c r="Y32" s="80"/>
      <c r="Z32" s="87"/>
      <c r="AA32" s="87"/>
      <c r="AB32" s="87"/>
      <c r="AC32" s="87"/>
      <c r="AD32" s="87"/>
      <c r="AE32" s="87"/>
      <c r="AF32" s="87"/>
      <c r="AG32" s="87"/>
      <c r="AH32" s="87"/>
      <c r="AI32" s="87"/>
      <c r="AJ32" s="87"/>
      <c r="AK32" s="87"/>
      <c r="AL32" s="87"/>
      <c r="AM32" s="87"/>
      <c r="AN32" s="87"/>
      <c r="AO32" s="87"/>
      <c r="AP32" s="87"/>
      <c r="AQ32" s="87"/>
      <c r="AR32" s="87"/>
      <c r="AS32" s="87"/>
      <c r="AT32" s="87"/>
      <c r="AU32" s="87"/>
      <c r="AV32" s="87"/>
      <c r="AW32" s="87"/>
      <c r="AX32" s="87"/>
      <c r="AY32" s="87"/>
      <c r="AZ32" s="87"/>
      <c r="BA32" s="87"/>
      <c r="BB32" s="87"/>
      <c r="BC32" s="87"/>
      <c r="BD32" s="87"/>
      <c r="BE32" s="87"/>
      <c r="BF32" s="87"/>
      <c r="BG32" s="87"/>
      <c r="BH32" s="87"/>
      <c r="BI32" s="87"/>
      <c r="BJ32" s="87"/>
      <c r="BK32" s="87"/>
      <c r="BL32" s="87"/>
      <c r="BM32" s="87"/>
      <c r="BN32" s="87"/>
      <c r="BO32" s="87"/>
      <c r="BP32" s="87"/>
      <c r="BQ32" s="87"/>
      <c r="BR32" s="87"/>
      <c r="BS32" s="87"/>
      <c r="BT32" s="87"/>
      <c r="BU32" s="87"/>
      <c r="BV32" s="87"/>
      <c r="BW32" s="87"/>
    </row>
    <row r="33" spans="1:75" ht="18.75">
      <c r="A33" s="7" t="s">
        <v>85</v>
      </c>
      <c r="B33" s="89">
        <v>230</v>
      </c>
      <c r="C33" s="51">
        <v>811.4</v>
      </c>
      <c r="D33" s="51">
        <v>179.7</v>
      </c>
      <c r="E33" s="63">
        <v>353.6</v>
      </c>
      <c r="F33" s="63">
        <f>593.2+71.5</f>
        <v>664.7</v>
      </c>
      <c r="G33" s="63">
        <v>130.69999999999999</v>
      </c>
      <c r="H33" s="64"/>
      <c r="I33" s="64"/>
      <c r="J33" s="108">
        <v>154</v>
      </c>
      <c r="K33" s="6">
        <f>1034.4+80.1</f>
        <v>1114.5</v>
      </c>
      <c r="L33" s="123">
        <f t="shared" si="2"/>
        <v>3408.6</v>
      </c>
      <c r="M33" s="42">
        <v>92.5</v>
      </c>
      <c r="N33" s="138">
        <f t="shared" si="3"/>
        <v>1149</v>
      </c>
      <c r="O33" s="125">
        <v>125.5</v>
      </c>
      <c r="P33" s="109">
        <f t="shared" si="4"/>
        <v>1274.5</v>
      </c>
      <c r="Q33" s="39">
        <f t="shared" si="0"/>
        <v>14.82</v>
      </c>
      <c r="R33" s="39">
        <f t="shared" si="1"/>
        <v>5.5413043478260873</v>
      </c>
      <c r="S33" s="128">
        <f t="shared" si="5"/>
        <v>0.71994170512509104</v>
      </c>
      <c r="T33" s="92">
        <f t="shared" si="6"/>
        <v>3501.1</v>
      </c>
      <c r="U33" s="85"/>
      <c r="W33" s="77"/>
    </row>
    <row r="34" spans="1:75" ht="18.75">
      <c r="A34" s="7" t="s">
        <v>86</v>
      </c>
      <c r="B34" s="89">
        <v>211</v>
      </c>
      <c r="C34" s="51">
        <v>881.7</v>
      </c>
      <c r="D34" s="51">
        <v>195.2</v>
      </c>
      <c r="E34" s="63">
        <v>412.6</v>
      </c>
      <c r="F34" s="63">
        <f>632+79.8</f>
        <v>711.8</v>
      </c>
      <c r="G34" s="63">
        <v>90.1</v>
      </c>
      <c r="H34" s="64"/>
      <c r="I34" s="64"/>
      <c r="J34" s="108">
        <v>154</v>
      </c>
      <c r="K34" s="6">
        <f>988.9+76.6</f>
        <v>1065.5</v>
      </c>
      <c r="L34" s="123">
        <f t="shared" si="2"/>
        <v>3510.9</v>
      </c>
      <c r="M34" s="42">
        <v>39.1</v>
      </c>
      <c r="N34" s="138">
        <f t="shared" si="3"/>
        <v>1214.5</v>
      </c>
      <c r="O34" s="125">
        <v>115.5</v>
      </c>
      <c r="P34" s="109">
        <f t="shared" si="4"/>
        <v>1330</v>
      </c>
      <c r="Q34" s="39">
        <f t="shared" si="0"/>
        <v>16.638999999999999</v>
      </c>
      <c r="R34" s="39">
        <f t="shared" si="1"/>
        <v>6.3033175355450233</v>
      </c>
      <c r="S34" s="128">
        <f t="shared" si="5"/>
        <v>0.80830701967452023</v>
      </c>
      <c r="T34" s="92">
        <f t="shared" si="6"/>
        <v>3550</v>
      </c>
      <c r="U34" s="85"/>
      <c r="W34" s="77"/>
    </row>
    <row r="35" spans="1:75" ht="18.75">
      <c r="A35" s="7" t="s">
        <v>87</v>
      </c>
      <c r="B35" s="89">
        <v>169</v>
      </c>
      <c r="C35" s="51">
        <v>741</v>
      </c>
      <c r="D35" s="51">
        <v>164.1</v>
      </c>
      <c r="E35" s="63">
        <v>360.2</v>
      </c>
      <c r="F35" s="63">
        <f>641.8+82.8</f>
        <v>724.59999999999991</v>
      </c>
      <c r="G35" s="63">
        <v>146.9</v>
      </c>
      <c r="H35" s="64"/>
      <c r="I35" s="64"/>
      <c r="J35" s="108">
        <v>154</v>
      </c>
      <c r="K35" s="6">
        <f>690.9+53.5</f>
        <v>744.4</v>
      </c>
      <c r="L35" s="123">
        <f t="shared" si="2"/>
        <v>3035.2</v>
      </c>
      <c r="M35" s="42">
        <v>0</v>
      </c>
      <c r="N35" s="138">
        <f t="shared" si="3"/>
        <v>1231.7</v>
      </c>
      <c r="O35" s="125">
        <v>108.4</v>
      </c>
      <c r="P35" s="109">
        <f t="shared" si="4"/>
        <v>1340.1000000000001</v>
      </c>
      <c r="Q35" s="39">
        <f t="shared" si="0"/>
        <v>17.96</v>
      </c>
      <c r="R35" s="39">
        <f t="shared" si="1"/>
        <v>7.9295857988165688</v>
      </c>
      <c r="S35" s="128">
        <f t="shared" si="5"/>
        <v>0.87247996113675008</v>
      </c>
      <c r="T35" s="92">
        <f t="shared" si="6"/>
        <v>3035.2</v>
      </c>
      <c r="U35" s="85"/>
      <c r="W35" s="77"/>
    </row>
    <row r="36" spans="1:75" ht="18.75">
      <c r="A36" s="7" t="s">
        <v>88</v>
      </c>
      <c r="B36" s="89">
        <v>198</v>
      </c>
      <c r="C36" s="51">
        <v>811.4</v>
      </c>
      <c r="D36" s="51">
        <v>179.7</v>
      </c>
      <c r="E36" s="63">
        <v>386.4</v>
      </c>
      <c r="F36" s="63">
        <f>709.2+92.8</f>
        <v>802</v>
      </c>
      <c r="G36" s="63">
        <v>110.8</v>
      </c>
      <c r="H36" s="64"/>
      <c r="I36" s="64"/>
      <c r="J36" s="108">
        <v>154</v>
      </c>
      <c r="K36" s="6">
        <f>887.1+68.7</f>
        <v>955.80000000000007</v>
      </c>
      <c r="L36" s="123">
        <f t="shared" si="2"/>
        <v>3400.1</v>
      </c>
      <c r="M36" s="42">
        <v>39.4</v>
      </c>
      <c r="N36" s="138">
        <f t="shared" si="3"/>
        <v>1299.2</v>
      </c>
      <c r="O36" s="125">
        <v>111.6</v>
      </c>
      <c r="P36" s="109">
        <f t="shared" si="4"/>
        <v>1410.8</v>
      </c>
      <c r="Q36" s="39">
        <f t="shared" si="0"/>
        <v>17.172000000000001</v>
      </c>
      <c r="R36" s="39">
        <f t="shared" si="1"/>
        <v>7.1252525252525247</v>
      </c>
      <c r="S36" s="128">
        <f t="shared" si="5"/>
        <v>0.83419965994656298</v>
      </c>
      <c r="T36" s="92">
        <f t="shared" si="6"/>
        <v>3439.5</v>
      </c>
      <c r="U36" s="85"/>
      <c r="W36" s="77"/>
    </row>
    <row r="37" spans="1:75" s="107" customFormat="1" ht="18.75">
      <c r="A37" s="120">
        <v>185</v>
      </c>
      <c r="B37" s="106">
        <v>156</v>
      </c>
      <c r="C37" s="52">
        <v>741</v>
      </c>
      <c r="D37" s="52">
        <v>164.1</v>
      </c>
      <c r="E37" s="65">
        <v>243.6</v>
      </c>
      <c r="F37" s="65">
        <v>668.4</v>
      </c>
      <c r="G37" s="65">
        <v>75.3</v>
      </c>
      <c r="H37" s="66"/>
      <c r="I37" s="66"/>
      <c r="J37" s="96">
        <v>154</v>
      </c>
      <c r="K37" s="97">
        <f>2370.6+183.5</f>
        <v>2554.1</v>
      </c>
      <c r="L37" s="123">
        <f t="shared" si="2"/>
        <v>4600.5</v>
      </c>
      <c r="M37" s="42">
        <v>33.9</v>
      </c>
      <c r="N37" s="138">
        <f t="shared" si="3"/>
        <v>987.3</v>
      </c>
      <c r="O37" s="125">
        <v>121.5</v>
      </c>
      <c r="P37" s="109">
        <f t="shared" si="4"/>
        <v>1108.8</v>
      </c>
      <c r="Q37" s="39">
        <f t="shared" si="0"/>
        <v>29.49</v>
      </c>
      <c r="R37" s="39">
        <f t="shared" si="1"/>
        <v>7.1076923076923073</v>
      </c>
      <c r="S37" s="157">
        <f t="shared" si="5"/>
        <v>1.4325965508865677</v>
      </c>
      <c r="T37" s="92">
        <f t="shared" si="6"/>
        <v>4634.3999999999996</v>
      </c>
      <c r="U37" s="85"/>
      <c r="V37" s="80"/>
      <c r="W37" s="77"/>
      <c r="X37" s="80"/>
      <c r="Y37" s="80"/>
      <c r="Z37" s="87"/>
      <c r="AA37" s="87"/>
      <c r="AB37" s="87"/>
      <c r="AC37" s="87"/>
      <c r="AD37" s="87"/>
      <c r="AE37" s="87"/>
      <c r="AF37" s="87"/>
      <c r="AG37" s="87"/>
      <c r="AH37" s="87"/>
      <c r="AI37" s="87"/>
      <c r="AJ37" s="87"/>
      <c r="AK37" s="87"/>
      <c r="AL37" s="87"/>
      <c r="AM37" s="87"/>
      <c r="AN37" s="87"/>
      <c r="AO37" s="87"/>
      <c r="AP37" s="87"/>
      <c r="AQ37" s="87"/>
      <c r="AR37" s="87"/>
      <c r="AS37" s="87"/>
      <c r="AT37" s="87"/>
      <c r="AU37" s="87"/>
      <c r="AV37" s="87"/>
      <c r="AW37" s="87"/>
      <c r="AX37" s="87"/>
      <c r="AY37" s="87"/>
      <c r="AZ37" s="87"/>
      <c r="BA37" s="87"/>
      <c r="BB37" s="87"/>
      <c r="BC37" s="87"/>
      <c r="BD37" s="87"/>
      <c r="BE37" s="87"/>
      <c r="BF37" s="87"/>
      <c r="BG37" s="87"/>
      <c r="BH37" s="87"/>
      <c r="BI37" s="87"/>
      <c r="BJ37" s="87"/>
      <c r="BK37" s="87"/>
      <c r="BL37" s="87"/>
      <c r="BM37" s="87"/>
      <c r="BN37" s="87"/>
      <c r="BO37" s="87"/>
      <c r="BP37" s="87"/>
      <c r="BQ37" s="87"/>
      <c r="BR37" s="87"/>
      <c r="BS37" s="87"/>
      <c r="BT37" s="87"/>
      <c r="BU37" s="87"/>
      <c r="BV37" s="87"/>
      <c r="BW37" s="87"/>
    </row>
    <row r="38" spans="1:75" ht="18.75" hidden="1">
      <c r="A38" s="7" t="s">
        <v>89</v>
      </c>
      <c r="B38" s="89">
        <v>196</v>
      </c>
      <c r="C38" s="51">
        <v>952.1</v>
      </c>
      <c r="D38" s="51">
        <v>210.8</v>
      </c>
      <c r="E38" s="63">
        <v>587</v>
      </c>
      <c r="F38" s="63">
        <v>1037.3</v>
      </c>
      <c r="G38" s="63">
        <v>111.6</v>
      </c>
      <c r="H38" s="64"/>
      <c r="I38" s="64"/>
      <c r="J38" s="108">
        <v>229</v>
      </c>
      <c r="K38" s="6">
        <f>919.9+71.3</f>
        <v>991.19999999999993</v>
      </c>
      <c r="L38" s="123">
        <f t="shared" si="2"/>
        <v>4119</v>
      </c>
      <c r="M38" s="42">
        <v>26.4</v>
      </c>
      <c r="N38" s="138">
        <f t="shared" si="3"/>
        <v>1735.8999999999999</v>
      </c>
      <c r="O38" s="125">
        <v>94</v>
      </c>
      <c r="P38" s="109">
        <f t="shared" si="4"/>
        <v>1829.8999999999999</v>
      </c>
      <c r="Q38" s="39">
        <f>ROUND(L38/B38,3)</f>
        <v>21.015000000000001</v>
      </c>
      <c r="R38" s="39">
        <f t="shared" si="1"/>
        <v>9.3362244897959172</v>
      </c>
      <c r="S38" s="157">
        <f>Q38/20.585</f>
        <v>1.0208889968423609</v>
      </c>
      <c r="T38" s="154">
        <f t="shared" si="6"/>
        <v>4145.3999999999996</v>
      </c>
      <c r="U38" s="85"/>
      <c r="W38" s="77"/>
    </row>
    <row r="39" spans="1:75" s="107" customFormat="1" ht="18.75">
      <c r="A39" s="120">
        <v>214</v>
      </c>
      <c r="B39" s="106">
        <v>359</v>
      </c>
      <c r="C39" s="52">
        <v>1116.2</v>
      </c>
      <c r="D39" s="52">
        <v>247.1</v>
      </c>
      <c r="E39" s="65">
        <v>499.3</v>
      </c>
      <c r="F39" s="65">
        <f>1280.8+166.5</f>
        <v>1447.3</v>
      </c>
      <c r="G39" s="65">
        <v>148.5</v>
      </c>
      <c r="H39" s="66"/>
      <c r="I39" s="66"/>
      <c r="J39" s="96">
        <v>199</v>
      </c>
      <c r="K39" s="97">
        <f>1734.3+134.2</f>
        <v>1868.5</v>
      </c>
      <c r="L39" s="123">
        <f t="shared" si="2"/>
        <v>5525.9</v>
      </c>
      <c r="M39" s="42">
        <v>65.7</v>
      </c>
      <c r="N39" s="138">
        <f t="shared" si="3"/>
        <v>2095.1</v>
      </c>
      <c r="O39" s="125">
        <v>150.69999999999999</v>
      </c>
      <c r="P39" s="109">
        <f t="shared" si="4"/>
        <v>2245.7999999999997</v>
      </c>
      <c r="Q39" s="39">
        <f t="shared" si="0"/>
        <v>15.391999999999999</v>
      </c>
      <c r="R39" s="39">
        <f t="shared" si="1"/>
        <v>6.2557103064066846</v>
      </c>
      <c r="S39" s="128">
        <f t="shared" si="5"/>
        <v>0.74772892883167352</v>
      </c>
      <c r="T39" s="92">
        <f t="shared" si="6"/>
        <v>5591.5999999999995</v>
      </c>
      <c r="U39" s="85"/>
      <c r="V39" s="80"/>
      <c r="W39" s="77"/>
      <c r="X39" s="80"/>
      <c r="Y39" s="80"/>
      <c r="Z39" s="87"/>
      <c r="AA39" s="87"/>
      <c r="AB39" s="87"/>
      <c r="AC39" s="87"/>
      <c r="AD39" s="87"/>
      <c r="AE39" s="87"/>
      <c r="AF39" s="87"/>
      <c r="AG39" s="87"/>
      <c r="AH39" s="87"/>
      <c r="AI39" s="87"/>
      <c r="AJ39" s="87"/>
      <c r="AK39" s="87"/>
      <c r="AL39" s="87"/>
      <c r="AM39" s="87"/>
      <c r="AN39" s="87"/>
      <c r="AO39" s="87"/>
      <c r="AP39" s="87"/>
      <c r="AQ39" s="87"/>
      <c r="AR39" s="87"/>
      <c r="AS39" s="87"/>
      <c r="AT39" s="87"/>
      <c r="AU39" s="87"/>
      <c r="AV39" s="87"/>
      <c r="AW39" s="87"/>
      <c r="AX39" s="87"/>
      <c r="AY39" s="87"/>
      <c r="AZ39" s="87"/>
      <c r="BA39" s="87"/>
      <c r="BB39" s="87"/>
      <c r="BC39" s="87"/>
      <c r="BD39" s="87"/>
      <c r="BE39" s="87"/>
      <c r="BF39" s="87"/>
      <c r="BG39" s="87"/>
      <c r="BH39" s="87"/>
      <c r="BI39" s="87"/>
      <c r="BJ39" s="87"/>
      <c r="BK39" s="87"/>
      <c r="BL39" s="87"/>
      <c r="BM39" s="87"/>
      <c r="BN39" s="87"/>
      <c r="BO39" s="87"/>
      <c r="BP39" s="87"/>
      <c r="BQ39" s="87"/>
      <c r="BR39" s="87"/>
      <c r="BS39" s="87"/>
      <c r="BT39" s="87"/>
      <c r="BU39" s="87"/>
      <c r="BV39" s="87"/>
      <c r="BW39" s="87"/>
    </row>
    <row r="40" spans="1:75" ht="18.75">
      <c r="A40" s="121" t="s">
        <v>90</v>
      </c>
      <c r="B40" s="89">
        <v>217</v>
      </c>
      <c r="C40" s="51">
        <v>881.7</v>
      </c>
      <c r="D40" s="51">
        <v>195.2</v>
      </c>
      <c r="E40" s="63">
        <v>478.1</v>
      </c>
      <c r="F40" s="63">
        <f>734.3+94.3</f>
        <v>828.59999999999991</v>
      </c>
      <c r="G40" s="63">
        <v>111</v>
      </c>
      <c r="H40" s="64"/>
      <c r="I40" s="64"/>
      <c r="J40" s="108">
        <v>154</v>
      </c>
      <c r="K40" s="6">
        <f>923.5+71.5</f>
        <v>995</v>
      </c>
      <c r="L40" s="123">
        <f t="shared" si="2"/>
        <v>3643.6</v>
      </c>
      <c r="M40" s="42">
        <v>33.799999999999997</v>
      </c>
      <c r="N40" s="138">
        <f t="shared" si="3"/>
        <v>1417.6999999999998</v>
      </c>
      <c r="O40" s="125">
        <v>66.7</v>
      </c>
      <c r="P40" s="109">
        <f t="shared" si="4"/>
        <v>1484.3999999999999</v>
      </c>
      <c r="Q40" s="39">
        <f t="shared" si="0"/>
        <v>16.791</v>
      </c>
      <c r="R40" s="39">
        <f t="shared" si="1"/>
        <v>6.8405529953917048</v>
      </c>
      <c r="S40" s="128">
        <f t="shared" si="5"/>
        <v>0.81569103716298275</v>
      </c>
      <c r="T40" s="92">
        <f t="shared" si="6"/>
        <v>3677.4</v>
      </c>
      <c r="U40" s="85"/>
      <c r="W40" s="77"/>
    </row>
    <row r="41" spans="1:75" ht="18.75">
      <c r="A41" s="7" t="s">
        <v>91</v>
      </c>
      <c r="B41" s="89">
        <v>199</v>
      </c>
      <c r="C41" s="51">
        <v>811.4</v>
      </c>
      <c r="D41" s="51">
        <v>179.7</v>
      </c>
      <c r="E41" s="65">
        <v>320</v>
      </c>
      <c r="F41" s="65">
        <v>792.6</v>
      </c>
      <c r="G41" s="65">
        <v>85.3</v>
      </c>
      <c r="H41" s="64"/>
      <c r="I41" s="64"/>
      <c r="J41" s="108">
        <v>154</v>
      </c>
      <c r="K41" s="6">
        <f>852.5+66.1</f>
        <v>918.6</v>
      </c>
      <c r="L41" s="123">
        <f t="shared" si="2"/>
        <v>3261.6</v>
      </c>
      <c r="M41" s="42">
        <v>27.5</v>
      </c>
      <c r="N41" s="138">
        <f t="shared" si="3"/>
        <v>1197.8999999999999</v>
      </c>
      <c r="O41" s="125">
        <v>117.9</v>
      </c>
      <c r="P41" s="109">
        <f t="shared" si="4"/>
        <v>1315.8</v>
      </c>
      <c r="Q41" s="39">
        <f t="shared" si="0"/>
        <v>16.39</v>
      </c>
      <c r="R41" s="39">
        <f t="shared" si="1"/>
        <v>6.6120603015075377</v>
      </c>
      <c r="S41" s="128">
        <f t="shared" si="5"/>
        <v>0.79621083313092056</v>
      </c>
      <c r="T41" s="92">
        <f t="shared" si="6"/>
        <v>3289.1</v>
      </c>
      <c r="U41" s="85"/>
      <c r="W41" s="77"/>
    </row>
    <row r="42" spans="1:75" s="107" customFormat="1" ht="18.75" hidden="1">
      <c r="A42" s="120">
        <v>226</v>
      </c>
      <c r="B42" s="106">
        <v>458</v>
      </c>
      <c r="C42" s="52">
        <v>1397.6</v>
      </c>
      <c r="D42" s="52">
        <v>309.39999999999998</v>
      </c>
      <c r="E42" s="63">
        <v>776.5</v>
      </c>
      <c r="F42" s="63">
        <f>995.5+128.9</f>
        <v>1124.4000000000001</v>
      </c>
      <c r="G42" s="63">
        <v>138.1</v>
      </c>
      <c r="H42" s="66"/>
      <c r="I42" s="66"/>
      <c r="J42" s="96">
        <v>274</v>
      </c>
      <c r="K42" s="97">
        <f>2165.1+167.6</f>
        <v>2332.6999999999998</v>
      </c>
      <c r="L42" s="123">
        <f t="shared" si="2"/>
        <v>6352.7</v>
      </c>
      <c r="M42" s="42">
        <v>60.5</v>
      </c>
      <c r="N42" s="138">
        <f t="shared" si="3"/>
        <v>2039</v>
      </c>
      <c r="O42" s="125">
        <v>194.9</v>
      </c>
      <c r="P42" s="109">
        <f t="shared" si="4"/>
        <v>2233.9</v>
      </c>
      <c r="Q42" s="39">
        <f t="shared" si="0"/>
        <v>13.871</v>
      </c>
      <c r="R42" s="39">
        <f t="shared" si="1"/>
        <v>4.8775109170305679</v>
      </c>
      <c r="S42" s="128">
        <f t="shared" si="5"/>
        <v>0.67384017488462467</v>
      </c>
      <c r="T42" s="154">
        <f t="shared" si="6"/>
        <v>6413.2</v>
      </c>
      <c r="U42" s="85"/>
      <c r="V42" s="80"/>
      <c r="W42" s="77"/>
      <c r="X42" s="80"/>
      <c r="Y42" s="80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  <c r="BW42" s="87"/>
    </row>
    <row r="43" spans="1:75" ht="18.75" hidden="1">
      <c r="A43" s="7" t="s">
        <v>92</v>
      </c>
      <c r="B43" s="89">
        <v>475</v>
      </c>
      <c r="C43" s="51">
        <v>1397.6</v>
      </c>
      <c r="D43" s="51">
        <v>309.39999999999998</v>
      </c>
      <c r="E43" s="63">
        <v>1057.7</v>
      </c>
      <c r="F43" s="63">
        <f>908.5+116.4</f>
        <v>1024.9000000000001</v>
      </c>
      <c r="G43" s="63">
        <v>218.6</v>
      </c>
      <c r="H43" s="64"/>
      <c r="I43" s="64"/>
      <c r="J43" s="108">
        <v>274</v>
      </c>
      <c r="K43" s="6">
        <f>2179.6+168.8</f>
        <v>2348.4</v>
      </c>
      <c r="L43" s="123">
        <f t="shared" si="2"/>
        <v>6630.6</v>
      </c>
      <c r="M43" s="42">
        <v>63.8</v>
      </c>
      <c r="N43" s="138">
        <f t="shared" si="3"/>
        <v>2301.2000000000003</v>
      </c>
      <c r="O43" s="125">
        <v>153.5</v>
      </c>
      <c r="P43" s="109">
        <f t="shared" si="4"/>
        <v>2454.7000000000003</v>
      </c>
      <c r="Q43" s="39">
        <f t="shared" si="0"/>
        <v>13.959</v>
      </c>
      <c r="R43" s="39">
        <f t="shared" si="1"/>
        <v>5.1677894736842109</v>
      </c>
      <c r="S43" s="128">
        <f t="shared" si="5"/>
        <v>0.67811513237794507</v>
      </c>
      <c r="T43" s="154">
        <f t="shared" si="6"/>
        <v>6694.4000000000005</v>
      </c>
      <c r="U43" s="85"/>
      <c r="W43" s="77"/>
    </row>
    <row r="44" spans="1:75" ht="18.75">
      <c r="A44" s="7" t="s">
        <v>93</v>
      </c>
      <c r="B44" s="89">
        <v>216</v>
      </c>
      <c r="C44" s="51">
        <v>811.4</v>
      </c>
      <c r="D44" s="51">
        <v>179.7</v>
      </c>
      <c r="E44" s="63">
        <v>261.89999999999998</v>
      </c>
      <c r="F44" s="63">
        <f>643.8+83.6</f>
        <v>727.4</v>
      </c>
      <c r="G44" s="63">
        <v>90.4</v>
      </c>
      <c r="H44" s="64"/>
      <c r="I44" s="64"/>
      <c r="J44" s="108">
        <v>154</v>
      </c>
      <c r="K44" s="6">
        <f>1005.2+77.9</f>
        <v>1083.1000000000001</v>
      </c>
      <c r="L44" s="123">
        <f t="shared" si="2"/>
        <v>3307.9</v>
      </c>
      <c r="M44" s="42">
        <v>40</v>
      </c>
      <c r="N44" s="138">
        <f t="shared" si="3"/>
        <v>1079.7</v>
      </c>
      <c r="O44" s="125">
        <v>114.4</v>
      </c>
      <c r="P44" s="109">
        <f t="shared" si="4"/>
        <v>1194.1000000000001</v>
      </c>
      <c r="Q44" s="39">
        <f t="shared" si="0"/>
        <v>15.314</v>
      </c>
      <c r="R44" s="39">
        <f t="shared" si="1"/>
        <v>5.528240740740741</v>
      </c>
      <c r="S44" s="128">
        <f t="shared" si="5"/>
        <v>0.74393976196259415</v>
      </c>
      <c r="T44" s="92">
        <f t="shared" si="6"/>
        <v>3347.9</v>
      </c>
      <c r="U44" s="85"/>
      <c r="W44" s="77"/>
    </row>
    <row r="45" spans="1:75" s="107" customFormat="1" ht="18.75">
      <c r="A45" s="120">
        <v>235</v>
      </c>
      <c r="B45" s="106">
        <v>171</v>
      </c>
      <c r="C45" s="52">
        <v>834.8</v>
      </c>
      <c r="D45" s="52">
        <v>184.8</v>
      </c>
      <c r="E45" s="65">
        <v>390.5</v>
      </c>
      <c r="F45" s="65">
        <v>587.79999999999995</v>
      </c>
      <c r="G45" s="65">
        <v>69.599999999999994</v>
      </c>
      <c r="H45" s="66"/>
      <c r="I45" s="66"/>
      <c r="J45" s="96">
        <v>154</v>
      </c>
      <c r="K45" s="97">
        <f>816.3+63.2</f>
        <v>879.5</v>
      </c>
      <c r="L45" s="123">
        <f t="shared" si="2"/>
        <v>3101</v>
      </c>
      <c r="M45" s="42">
        <v>27.9</v>
      </c>
      <c r="N45" s="138">
        <f t="shared" si="3"/>
        <v>1047.8999999999999</v>
      </c>
      <c r="O45" s="125">
        <v>106</v>
      </c>
      <c r="P45" s="109">
        <f t="shared" si="4"/>
        <v>1153.8999999999999</v>
      </c>
      <c r="Q45" s="39">
        <f t="shared" si="0"/>
        <v>18.135000000000002</v>
      </c>
      <c r="R45" s="39">
        <f t="shared" si="1"/>
        <v>6.7479532163742686</v>
      </c>
      <c r="S45" s="128">
        <f t="shared" si="5"/>
        <v>0.88098129706096673</v>
      </c>
      <c r="T45" s="92">
        <f t="shared" si="6"/>
        <v>3128.9</v>
      </c>
      <c r="U45" s="85"/>
      <c r="V45" s="80"/>
      <c r="W45" s="77"/>
      <c r="X45" s="80"/>
      <c r="Y45" s="80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  <c r="BW45" s="87"/>
    </row>
    <row r="46" spans="1:75" ht="18.75" hidden="1">
      <c r="A46" s="7" t="s">
        <v>94</v>
      </c>
      <c r="B46" s="89">
        <v>445</v>
      </c>
      <c r="C46" s="51">
        <v>1327.3</v>
      </c>
      <c r="D46" s="51">
        <v>293.89999999999998</v>
      </c>
      <c r="E46" s="63">
        <v>593.5</v>
      </c>
      <c r="F46" s="63">
        <v>1388.2</v>
      </c>
      <c r="G46" s="63">
        <v>185.4</v>
      </c>
      <c r="H46" s="64"/>
      <c r="I46" s="64"/>
      <c r="J46" s="108">
        <v>274</v>
      </c>
      <c r="K46" s="6">
        <f>1837.9+142.3</f>
        <v>1980.2</v>
      </c>
      <c r="L46" s="123">
        <f t="shared" si="2"/>
        <v>6042.5</v>
      </c>
      <c r="M46" s="42">
        <v>60.5</v>
      </c>
      <c r="N46" s="138">
        <f t="shared" si="3"/>
        <v>2167.1</v>
      </c>
      <c r="O46" s="125">
        <v>143</v>
      </c>
      <c r="P46" s="109">
        <f t="shared" si="4"/>
        <v>2310.1</v>
      </c>
      <c r="Q46" s="39">
        <f t="shared" si="0"/>
        <v>13.579000000000001</v>
      </c>
      <c r="R46" s="39">
        <f t="shared" si="1"/>
        <v>5.1912359550561797</v>
      </c>
      <c r="S46" s="128">
        <f t="shared" si="5"/>
        <v>0.6596550886567889</v>
      </c>
      <c r="T46" s="154">
        <f t="shared" si="6"/>
        <v>6103</v>
      </c>
      <c r="U46" s="85"/>
      <c r="W46" s="77"/>
    </row>
    <row r="47" spans="1:75" ht="18.75">
      <c r="A47" s="7" t="s">
        <v>95</v>
      </c>
      <c r="B47" s="89">
        <v>422</v>
      </c>
      <c r="C47" s="51">
        <v>1092.8</v>
      </c>
      <c r="D47" s="51">
        <v>242</v>
      </c>
      <c r="E47" s="63">
        <v>556.70000000000005</v>
      </c>
      <c r="F47" s="63">
        <v>1817.9</v>
      </c>
      <c r="G47" s="63">
        <v>121.9</v>
      </c>
      <c r="H47" s="64"/>
      <c r="I47" s="64"/>
      <c r="J47" s="108">
        <v>187</v>
      </c>
      <c r="K47" s="6">
        <f>1881.6+145.7</f>
        <v>2027.3</v>
      </c>
      <c r="L47" s="123">
        <f t="shared" si="2"/>
        <v>6045.6</v>
      </c>
      <c r="M47" s="42">
        <v>58.1</v>
      </c>
      <c r="N47" s="138">
        <f t="shared" si="3"/>
        <v>2496.5000000000005</v>
      </c>
      <c r="O47" s="125">
        <v>142</v>
      </c>
      <c r="P47" s="109">
        <f t="shared" si="4"/>
        <v>2638.5000000000005</v>
      </c>
      <c r="Q47" s="39">
        <f t="shared" si="0"/>
        <v>14.326000000000001</v>
      </c>
      <c r="R47" s="39">
        <f t="shared" si="1"/>
        <v>6.2523696682464465</v>
      </c>
      <c r="S47" s="128">
        <f t="shared" si="5"/>
        <v>0.69594364828758803</v>
      </c>
      <c r="T47" s="92">
        <f t="shared" si="6"/>
        <v>6103.7000000000007</v>
      </c>
      <c r="U47" s="85"/>
      <c r="W47" s="77"/>
    </row>
    <row r="48" spans="1:75" ht="18.75">
      <c r="A48" s="7" t="s">
        <v>96</v>
      </c>
      <c r="B48" s="89">
        <v>161</v>
      </c>
      <c r="C48" s="51">
        <v>741</v>
      </c>
      <c r="D48" s="51">
        <v>164.1</v>
      </c>
      <c r="E48" s="63">
        <v>666.1</v>
      </c>
      <c r="F48" s="63">
        <v>407.6</v>
      </c>
      <c r="G48" s="63">
        <v>114.6</v>
      </c>
      <c r="H48" s="64"/>
      <c r="I48" s="64"/>
      <c r="J48" s="108">
        <v>154</v>
      </c>
      <c r="K48" s="6">
        <f>843.5+65.4</f>
        <v>908.9</v>
      </c>
      <c r="L48" s="123">
        <f t="shared" si="2"/>
        <v>3156.3</v>
      </c>
      <c r="M48" s="42">
        <v>22.2</v>
      </c>
      <c r="N48" s="138">
        <f t="shared" si="3"/>
        <v>1188.3</v>
      </c>
      <c r="O48" s="125">
        <v>103.8</v>
      </c>
      <c r="P48" s="109">
        <f t="shared" si="4"/>
        <v>1292.0999999999999</v>
      </c>
      <c r="Q48" s="39">
        <f t="shared" si="0"/>
        <v>19.603999999999999</v>
      </c>
      <c r="R48" s="39">
        <f t="shared" si="1"/>
        <v>8.0254658385093158</v>
      </c>
      <c r="S48" s="128">
        <f t="shared" si="5"/>
        <v>0.95234393976196252</v>
      </c>
      <c r="T48" s="92">
        <f t="shared" si="6"/>
        <v>3178.5</v>
      </c>
      <c r="U48" s="85"/>
      <c r="W48" s="77"/>
    </row>
    <row r="49" spans="1:75" s="107" customFormat="1" ht="18.75" hidden="1">
      <c r="A49" s="120">
        <v>40</v>
      </c>
      <c r="B49" s="106">
        <v>51</v>
      </c>
      <c r="C49" s="52">
        <v>655</v>
      </c>
      <c r="D49" s="52">
        <v>145</v>
      </c>
      <c r="E49" s="65">
        <v>149</v>
      </c>
      <c r="F49" s="65">
        <v>246.7</v>
      </c>
      <c r="G49" s="65">
        <v>36.700000000000003</v>
      </c>
      <c r="H49" s="66"/>
      <c r="I49" s="66"/>
      <c r="J49" s="98">
        <v>130</v>
      </c>
      <c r="K49" s="44">
        <f>1068.9+82.8</f>
        <v>1151.7</v>
      </c>
      <c r="L49" s="123">
        <f t="shared" si="2"/>
        <v>2514.1</v>
      </c>
      <c r="M49" s="42">
        <v>20.2</v>
      </c>
      <c r="N49" s="138">
        <f t="shared" si="3"/>
        <v>432.4</v>
      </c>
      <c r="O49" s="125">
        <v>100.5</v>
      </c>
      <c r="P49" s="109">
        <f t="shared" si="4"/>
        <v>532.9</v>
      </c>
      <c r="Q49" s="39">
        <f t="shared" si="0"/>
        <v>49.295999999999999</v>
      </c>
      <c r="R49" s="39">
        <f t="shared" si="1"/>
        <v>10.449019607843137</v>
      </c>
      <c r="S49" s="156">
        <f t="shared" si="5"/>
        <v>2.3947534612581975</v>
      </c>
      <c r="T49" s="92">
        <f t="shared" si="6"/>
        <v>2534.2999999999997</v>
      </c>
      <c r="U49" s="85"/>
      <c r="V49" s="80"/>
      <c r="W49" s="77"/>
      <c r="X49" s="80"/>
      <c r="Y49" s="80"/>
      <c r="Z49" s="87"/>
      <c r="AA49" s="87"/>
      <c r="AB49" s="87"/>
      <c r="AC49" s="87"/>
      <c r="AD49" s="87"/>
      <c r="AE49" s="87"/>
      <c r="AF49" s="87"/>
      <c r="AG49" s="87"/>
      <c r="AH49" s="87"/>
      <c r="AI49" s="87"/>
      <c r="AJ49" s="87"/>
      <c r="AK49" s="87"/>
      <c r="AL49" s="87"/>
      <c r="AM49" s="87"/>
      <c r="AN49" s="87"/>
      <c r="AO49" s="87"/>
      <c r="AP49" s="87"/>
      <c r="AQ49" s="87"/>
      <c r="AR49" s="87"/>
      <c r="AS49" s="87"/>
      <c r="AT49" s="87"/>
      <c r="AU49" s="87"/>
      <c r="AV49" s="87"/>
      <c r="AW49" s="87"/>
      <c r="AX49" s="87"/>
      <c r="AY49" s="87"/>
      <c r="AZ49" s="87"/>
      <c r="BA49" s="87"/>
      <c r="BB49" s="87"/>
      <c r="BC49" s="87"/>
      <c r="BD49" s="87"/>
      <c r="BE49" s="87"/>
      <c r="BF49" s="87"/>
      <c r="BG49" s="87"/>
      <c r="BH49" s="87"/>
      <c r="BI49" s="87"/>
      <c r="BJ49" s="87"/>
      <c r="BK49" s="87"/>
      <c r="BL49" s="87"/>
      <c r="BM49" s="87"/>
      <c r="BN49" s="87"/>
      <c r="BO49" s="87"/>
      <c r="BP49" s="87"/>
      <c r="BQ49" s="87"/>
      <c r="BR49" s="87"/>
      <c r="BS49" s="87"/>
      <c r="BT49" s="87"/>
      <c r="BU49" s="87"/>
      <c r="BV49" s="87"/>
      <c r="BW49" s="87"/>
    </row>
    <row r="50" spans="1:75" ht="18.75">
      <c r="A50" s="7" t="s">
        <v>97</v>
      </c>
      <c r="B50" s="89">
        <v>164</v>
      </c>
      <c r="C50" s="51">
        <v>866.1</v>
      </c>
      <c r="D50" s="51">
        <v>191.8</v>
      </c>
      <c r="E50" s="63">
        <v>884.2</v>
      </c>
      <c r="F50" s="63">
        <v>520.29999999999995</v>
      </c>
      <c r="G50" s="63">
        <v>100.5</v>
      </c>
      <c r="H50" s="64"/>
      <c r="I50" s="64"/>
      <c r="J50" s="109">
        <v>154</v>
      </c>
      <c r="K50" s="42">
        <f>743.5+57.5</f>
        <v>801</v>
      </c>
      <c r="L50" s="123">
        <f t="shared" si="2"/>
        <v>3517.9</v>
      </c>
      <c r="M50" s="42">
        <v>17.8</v>
      </c>
      <c r="N50" s="138">
        <f t="shared" si="3"/>
        <v>1505</v>
      </c>
      <c r="O50" s="125">
        <v>114.4</v>
      </c>
      <c r="P50" s="109">
        <f t="shared" si="4"/>
        <v>1619.4</v>
      </c>
      <c r="Q50" s="39">
        <f t="shared" si="0"/>
        <v>21.451000000000001</v>
      </c>
      <c r="R50" s="39">
        <f t="shared" si="1"/>
        <v>9.8743902439024396</v>
      </c>
      <c r="S50" s="157">
        <f t="shared" si="5"/>
        <v>1.0420694680592664</v>
      </c>
      <c r="T50" s="92">
        <f t="shared" si="6"/>
        <v>3535.7000000000003</v>
      </c>
      <c r="U50" s="85"/>
      <c r="W50" s="77"/>
    </row>
    <row r="51" spans="1:75" s="107" customFormat="1" ht="18.75">
      <c r="A51" s="120">
        <v>55</v>
      </c>
      <c r="B51" s="106">
        <v>162</v>
      </c>
      <c r="C51" s="52">
        <v>866.1</v>
      </c>
      <c r="D51" s="52">
        <v>191.8</v>
      </c>
      <c r="E51" s="65">
        <v>271</v>
      </c>
      <c r="F51" s="65">
        <v>601.9</v>
      </c>
      <c r="G51" s="65">
        <v>66.2</v>
      </c>
      <c r="H51" s="66"/>
      <c r="I51" s="66"/>
      <c r="J51" s="98">
        <v>154</v>
      </c>
      <c r="K51" s="44">
        <f>2536.1+196.4</f>
        <v>2732.5</v>
      </c>
      <c r="L51" s="123">
        <f t="shared" si="2"/>
        <v>4883.5</v>
      </c>
      <c r="M51" s="42">
        <v>31.7</v>
      </c>
      <c r="N51" s="138">
        <f t="shared" si="3"/>
        <v>939.1</v>
      </c>
      <c r="O51" s="125">
        <v>121.5</v>
      </c>
      <c r="P51" s="109">
        <f t="shared" si="4"/>
        <v>1060.5999999999999</v>
      </c>
      <c r="Q51" s="39">
        <f t="shared" si="0"/>
        <v>30.145</v>
      </c>
      <c r="R51" s="39">
        <f t="shared" si="1"/>
        <v>6.5469135802469127</v>
      </c>
      <c r="S51" s="157">
        <f t="shared" si="5"/>
        <v>1.4644158367743503</v>
      </c>
      <c r="T51" s="92">
        <f t="shared" si="6"/>
        <v>4915.2</v>
      </c>
      <c r="U51" s="85"/>
      <c r="V51" s="80"/>
      <c r="W51" s="77"/>
      <c r="X51" s="80"/>
      <c r="Y51" s="80"/>
      <c r="Z51" s="87"/>
      <c r="AA51" s="87"/>
      <c r="AB51" s="87"/>
      <c r="AC51" s="87"/>
      <c r="AD51" s="87"/>
      <c r="AE51" s="87"/>
      <c r="AF51" s="87"/>
      <c r="AG51" s="87"/>
      <c r="AH51" s="87"/>
      <c r="AI51" s="87"/>
      <c r="AJ51" s="87"/>
      <c r="AK51" s="87"/>
      <c r="AL51" s="87"/>
      <c r="AM51" s="87"/>
      <c r="AN51" s="87"/>
      <c r="AO51" s="87"/>
      <c r="AP51" s="87"/>
      <c r="AQ51" s="87"/>
      <c r="AR51" s="87"/>
      <c r="AS51" s="87"/>
      <c r="AT51" s="87"/>
      <c r="AU51" s="87"/>
      <c r="AV51" s="87"/>
      <c r="AW51" s="87"/>
      <c r="AX51" s="87"/>
      <c r="AY51" s="87"/>
      <c r="AZ51" s="87"/>
      <c r="BA51" s="87"/>
      <c r="BB51" s="87"/>
      <c r="BC51" s="87"/>
      <c r="BD51" s="87"/>
      <c r="BE51" s="87"/>
      <c r="BF51" s="87"/>
      <c r="BG51" s="87"/>
      <c r="BH51" s="87"/>
      <c r="BI51" s="87"/>
      <c r="BJ51" s="87"/>
      <c r="BK51" s="87"/>
      <c r="BL51" s="87"/>
      <c r="BM51" s="87"/>
      <c r="BN51" s="87"/>
      <c r="BO51" s="87"/>
      <c r="BP51" s="87"/>
      <c r="BQ51" s="87"/>
      <c r="BR51" s="87"/>
      <c r="BS51" s="87"/>
      <c r="BT51" s="87"/>
      <c r="BU51" s="87"/>
      <c r="BV51" s="87"/>
      <c r="BW51" s="87"/>
    </row>
    <row r="52" spans="1:75" ht="18.75">
      <c r="A52" s="7" t="s">
        <v>98</v>
      </c>
      <c r="B52" s="89">
        <v>187</v>
      </c>
      <c r="C52" s="51">
        <v>1286.5999999999999</v>
      </c>
      <c r="D52" s="51">
        <v>284.89999999999998</v>
      </c>
      <c r="E52" s="63">
        <v>319.60000000000002</v>
      </c>
      <c r="F52" s="63">
        <v>516.1</v>
      </c>
      <c r="G52" s="63">
        <v>51.4</v>
      </c>
      <c r="H52" s="64"/>
      <c r="I52" s="64"/>
      <c r="J52" s="109">
        <v>164</v>
      </c>
      <c r="K52" s="42">
        <f>789+61.1</f>
        <v>850.1</v>
      </c>
      <c r="L52" s="123">
        <f t="shared" si="2"/>
        <v>3472.7</v>
      </c>
      <c r="M52" s="42">
        <v>52.8</v>
      </c>
      <c r="N52" s="138">
        <f t="shared" si="3"/>
        <v>887.1</v>
      </c>
      <c r="O52" s="125">
        <v>151.80000000000001</v>
      </c>
      <c r="P52" s="109">
        <f t="shared" si="4"/>
        <v>1038.9000000000001</v>
      </c>
      <c r="Q52" s="39">
        <f t="shared" si="0"/>
        <v>18.571000000000002</v>
      </c>
      <c r="R52" s="39">
        <f t="shared" si="1"/>
        <v>5.5556149732620321</v>
      </c>
      <c r="S52" s="128">
        <f t="shared" si="5"/>
        <v>0.90216176827787231</v>
      </c>
      <c r="T52" s="92">
        <f t="shared" si="6"/>
        <v>3525.5</v>
      </c>
      <c r="U52" s="85"/>
      <c r="W52" s="77"/>
    </row>
    <row r="53" spans="1:75" ht="18.75">
      <c r="A53" s="7" t="s">
        <v>99</v>
      </c>
      <c r="B53" s="89">
        <v>178</v>
      </c>
      <c r="C53" s="51">
        <v>928.6</v>
      </c>
      <c r="D53" s="51">
        <v>205.6</v>
      </c>
      <c r="E53" s="63">
        <v>340.6</v>
      </c>
      <c r="F53" s="63">
        <v>524.9</v>
      </c>
      <c r="G53" s="63">
        <v>77.5</v>
      </c>
      <c r="H53" s="64"/>
      <c r="I53" s="64"/>
      <c r="J53" s="109">
        <v>154</v>
      </c>
      <c r="K53" s="42">
        <f>801.7+62.1</f>
        <v>863.80000000000007</v>
      </c>
      <c r="L53" s="123">
        <f t="shared" si="2"/>
        <v>3095</v>
      </c>
      <c r="M53" s="42">
        <v>26.8</v>
      </c>
      <c r="N53" s="138">
        <f t="shared" si="3"/>
        <v>943</v>
      </c>
      <c r="O53" s="125">
        <v>126.5</v>
      </c>
      <c r="P53" s="109">
        <f t="shared" si="4"/>
        <v>1069.5</v>
      </c>
      <c r="Q53" s="39">
        <f t="shared" si="0"/>
        <v>17.388000000000002</v>
      </c>
      <c r="R53" s="39">
        <f t="shared" si="1"/>
        <v>6.0084269662921352</v>
      </c>
      <c r="S53" s="128">
        <f t="shared" si="5"/>
        <v>0.8446927374301676</v>
      </c>
      <c r="T53" s="92">
        <f t="shared" si="6"/>
        <v>3121.8</v>
      </c>
      <c r="U53" s="85"/>
      <c r="W53" s="77"/>
    </row>
    <row r="54" spans="1:75" ht="18.75">
      <c r="A54" s="7" t="s">
        <v>100</v>
      </c>
      <c r="B54" s="89">
        <v>265</v>
      </c>
      <c r="C54" s="51">
        <v>1217.9000000000001</v>
      </c>
      <c r="D54" s="51">
        <v>269.7</v>
      </c>
      <c r="E54" s="63">
        <v>497.7</v>
      </c>
      <c r="F54" s="63">
        <v>1011.5</v>
      </c>
      <c r="G54" s="63">
        <v>129.5</v>
      </c>
      <c r="H54" s="64"/>
      <c r="I54" s="64"/>
      <c r="J54" s="109">
        <v>168</v>
      </c>
      <c r="K54" s="42">
        <f>1167.1+90.4</f>
        <v>1257.5</v>
      </c>
      <c r="L54" s="123">
        <f t="shared" si="2"/>
        <v>4551.8</v>
      </c>
      <c r="M54" s="42">
        <v>35.6</v>
      </c>
      <c r="N54" s="138">
        <f t="shared" si="3"/>
        <v>1638.7</v>
      </c>
      <c r="O54" s="125">
        <v>132.5</v>
      </c>
      <c r="P54" s="109">
        <f t="shared" si="4"/>
        <v>1771.2</v>
      </c>
      <c r="Q54" s="39">
        <f t="shared" si="0"/>
        <v>17.177</v>
      </c>
      <c r="R54" s="39">
        <f t="shared" si="1"/>
        <v>6.6837735849056603</v>
      </c>
      <c r="S54" s="128">
        <f t="shared" si="5"/>
        <v>0.83444255525868349</v>
      </c>
      <c r="T54" s="92">
        <f t="shared" si="6"/>
        <v>4587.4000000000005</v>
      </c>
      <c r="U54" s="85"/>
      <c r="W54" s="77"/>
    </row>
    <row r="55" spans="1:75" s="107" customFormat="1" ht="18.75" hidden="1">
      <c r="A55" s="120">
        <v>115</v>
      </c>
      <c r="B55" s="106">
        <v>58</v>
      </c>
      <c r="C55" s="52">
        <v>655</v>
      </c>
      <c r="D55" s="52">
        <v>145</v>
      </c>
      <c r="E55" s="65">
        <v>235.8</v>
      </c>
      <c r="F55" s="65">
        <v>390.3</v>
      </c>
      <c r="G55" s="65">
        <v>30.5</v>
      </c>
      <c r="H55" s="66"/>
      <c r="I55" s="66"/>
      <c r="J55" s="98">
        <v>130</v>
      </c>
      <c r="K55" s="44">
        <f>450.9+35</f>
        <v>485.9</v>
      </c>
      <c r="L55" s="123">
        <f t="shared" si="2"/>
        <v>2072.5</v>
      </c>
      <c r="M55" s="42">
        <v>26.7</v>
      </c>
      <c r="N55" s="138">
        <f t="shared" si="3"/>
        <v>656.6</v>
      </c>
      <c r="O55" s="125">
        <v>82.5</v>
      </c>
      <c r="P55" s="109">
        <f t="shared" si="4"/>
        <v>739.1</v>
      </c>
      <c r="Q55" s="39">
        <f t="shared" si="0"/>
        <v>35.732999999999997</v>
      </c>
      <c r="R55" s="39">
        <f t="shared" si="1"/>
        <v>12.743103448275862</v>
      </c>
      <c r="S55" s="157">
        <f t="shared" si="5"/>
        <v>1.735875637600194</v>
      </c>
      <c r="T55" s="92">
        <f t="shared" si="6"/>
        <v>2099.1999999999998</v>
      </c>
      <c r="U55" s="85"/>
      <c r="V55" s="80"/>
      <c r="W55" s="77"/>
      <c r="X55" s="80"/>
      <c r="Y55" s="80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  <c r="BW55" s="87"/>
    </row>
    <row r="56" spans="1:75" ht="18.75">
      <c r="A56" s="7" t="s">
        <v>101</v>
      </c>
      <c r="B56" s="89">
        <v>190</v>
      </c>
      <c r="C56" s="51">
        <v>999</v>
      </c>
      <c r="D56" s="51">
        <v>221.2</v>
      </c>
      <c r="E56" s="63">
        <v>379.9</v>
      </c>
      <c r="F56" s="63">
        <v>416.3</v>
      </c>
      <c r="G56" s="63">
        <v>58</v>
      </c>
      <c r="H56" s="64"/>
      <c r="I56" s="64"/>
      <c r="J56" s="109">
        <v>154</v>
      </c>
      <c r="K56" s="42">
        <f>919.8+71.2</f>
        <v>991</v>
      </c>
      <c r="L56" s="123">
        <f t="shared" si="2"/>
        <v>3219.4</v>
      </c>
      <c r="M56" s="42">
        <v>29.3</v>
      </c>
      <c r="N56" s="138">
        <f t="shared" si="3"/>
        <v>854.2</v>
      </c>
      <c r="O56" s="125">
        <v>123.5</v>
      </c>
      <c r="P56" s="109">
        <f t="shared" si="4"/>
        <v>977.7</v>
      </c>
      <c r="Q56" s="39">
        <f t="shared" si="0"/>
        <v>16.943999999999999</v>
      </c>
      <c r="R56" s="39">
        <f t="shared" si="1"/>
        <v>5.1457894736842107</v>
      </c>
      <c r="S56" s="128">
        <f t="shared" si="5"/>
        <v>0.82312363371386921</v>
      </c>
      <c r="T56" s="92">
        <f t="shared" si="6"/>
        <v>3248.7000000000003</v>
      </c>
      <c r="U56" s="85"/>
      <c r="W56" s="77"/>
    </row>
    <row r="57" spans="1:75" ht="18.75">
      <c r="A57" s="7" t="s">
        <v>102</v>
      </c>
      <c r="B57" s="89">
        <v>186</v>
      </c>
      <c r="C57" s="51">
        <v>873.9</v>
      </c>
      <c r="D57" s="51">
        <v>193.5</v>
      </c>
      <c r="E57" s="63">
        <v>163.69999999999999</v>
      </c>
      <c r="F57" s="63">
        <v>461.9</v>
      </c>
      <c r="G57" s="63">
        <v>60.3</v>
      </c>
      <c r="H57" s="64"/>
      <c r="I57" s="64"/>
      <c r="J57" s="109">
        <v>154</v>
      </c>
      <c r="K57" s="42">
        <f>781.7+60.6</f>
        <v>842.30000000000007</v>
      </c>
      <c r="L57" s="123">
        <f t="shared" si="2"/>
        <v>2749.6</v>
      </c>
      <c r="M57" s="42">
        <v>32</v>
      </c>
      <c r="N57" s="138">
        <f t="shared" si="3"/>
        <v>685.89999999999986</v>
      </c>
      <c r="O57" s="125">
        <v>120</v>
      </c>
      <c r="P57" s="109">
        <f t="shared" si="4"/>
        <v>805.89999999999986</v>
      </c>
      <c r="Q57" s="39">
        <f t="shared" si="0"/>
        <v>14.782999999999999</v>
      </c>
      <c r="R57" s="39">
        <f t="shared" si="1"/>
        <v>4.3327956989247305</v>
      </c>
      <c r="S57" s="128">
        <f t="shared" si="5"/>
        <v>0.71814427981539952</v>
      </c>
      <c r="T57" s="92">
        <f t="shared" si="6"/>
        <v>2781.6</v>
      </c>
      <c r="U57" s="85"/>
      <c r="W57" s="77"/>
    </row>
    <row r="58" spans="1:75" ht="18.75">
      <c r="A58" s="7" t="s">
        <v>103</v>
      </c>
      <c r="B58" s="89">
        <v>127</v>
      </c>
      <c r="C58" s="51">
        <v>827</v>
      </c>
      <c r="D58" s="51">
        <v>183.1</v>
      </c>
      <c r="E58" s="63">
        <v>189.9</v>
      </c>
      <c r="F58" s="63">
        <v>603.6</v>
      </c>
      <c r="G58" s="63">
        <v>52.3</v>
      </c>
      <c r="H58" s="64"/>
      <c r="I58" s="64"/>
      <c r="J58" s="109">
        <v>150</v>
      </c>
      <c r="K58" s="42">
        <f>676.2+52.4</f>
        <v>728.6</v>
      </c>
      <c r="L58" s="123">
        <f t="shared" si="2"/>
        <v>2734.5</v>
      </c>
      <c r="M58" s="42">
        <v>35.299999999999997</v>
      </c>
      <c r="N58" s="138">
        <f t="shared" si="3"/>
        <v>845.8</v>
      </c>
      <c r="O58" s="125">
        <v>94.8</v>
      </c>
      <c r="P58" s="109">
        <f t="shared" si="4"/>
        <v>940.59999999999991</v>
      </c>
      <c r="Q58" s="39">
        <f t="shared" si="0"/>
        <v>21.530999999999999</v>
      </c>
      <c r="R58" s="39">
        <f t="shared" si="1"/>
        <v>7.4062992125984248</v>
      </c>
      <c r="S58" s="157">
        <f t="shared" si="5"/>
        <v>1.045955793053194</v>
      </c>
      <c r="T58" s="92">
        <f t="shared" si="6"/>
        <v>2769.8</v>
      </c>
      <c r="U58" s="85"/>
      <c r="W58" s="77"/>
    </row>
    <row r="59" spans="1:75" ht="18.75">
      <c r="A59" s="7" t="s">
        <v>104</v>
      </c>
      <c r="B59" s="89">
        <v>222</v>
      </c>
      <c r="C59" s="51">
        <v>1006.8</v>
      </c>
      <c r="D59" s="51">
        <v>222.9</v>
      </c>
      <c r="E59" s="63">
        <f>284.9</f>
        <v>284.89999999999998</v>
      </c>
      <c r="F59" s="63">
        <f>604.9+78.2</f>
        <v>683.1</v>
      </c>
      <c r="G59" s="63">
        <v>57.8</v>
      </c>
      <c r="H59" s="64"/>
      <c r="I59" s="64"/>
      <c r="J59" s="109">
        <v>154</v>
      </c>
      <c r="K59" s="42">
        <f>1030.8+79.8</f>
        <v>1110.5999999999999</v>
      </c>
      <c r="L59" s="123">
        <f t="shared" si="2"/>
        <v>3520.1</v>
      </c>
      <c r="M59" s="42">
        <v>27.8</v>
      </c>
      <c r="N59" s="138">
        <f t="shared" si="3"/>
        <v>1025.8</v>
      </c>
      <c r="O59" s="125">
        <v>119.4</v>
      </c>
      <c r="P59" s="109">
        <f t="shared" si="4"/>
        <v>1145.2</v>
      </c>
      <c r="Q59" s="39">
        <f t="shared" si="0"/>
        <v>15.856</v>
      </c>
      <c r="R59" s="39">
        <f t="shared" si="1"/>
        <v>5.1585585585585587</v>
      </c>
      <c r="S59" s="128">
        <f t="shared" si="5"/>
        <v>0.77026961379645364</v>
      </c>
      <c r="T59" s="92">
        <f t="shared" si="6"/>
        <v>3547.9</v>
      </c>
      <c r="U59" s="85"/>
      <c r="W59" s="77"/>
    </row>
    <row r="60" spans="1:75" ht="18.75">
      <c r="A60" s="7" t="s">
        <v>105</v>
      </c>
      <c r="B60" s="89">
        <v>118</v>
      </c>
      <c r="C60" s="51">
        <v>741</v>
      </c>
      <c r="D60" s="51">
        <v>164.1</v>
      </c>
      <c r="E60" s="63">
        <v>248.9</v>
      </c>
      <c r="F60" s="63">
        <v>450.3</v>
      </c>
      <c r="G60" s="63">
        <v>40.700000000000003</v>
      </c>
      <c r="H60" s="64"/>
      <c r="I60" s="64"/>
      <c r="J60" s="109">
        <v>130</v>
      </c>
      <c r="K60" s="42">
        <f>561.7+43.5</f>
        <v>605.20000000000005</v>
      </c>
      <c r="L60" s="123">
        <f t="shared" si="2"/>
        <v>2380.1999999999998</v>
      </c>
      <c r="M60" s="42">
        <v>18.600000000000001</v>
      </c>
      <c r="N60" s="138">
        <f t="shared" si="3"/>
        <v>739.90000000000009</v>
      </c>
      <c r="O60" s="125">
        <v>102.9</v>
      </c>
      <c r="P60" s="109">
        <f t="shared" si="4"/>
        <v>842.80000000000007</v>
      </c>
      <c r="Q60" s="39">
        <f t="shared" si="0"/>
        <v>20.170999999999999</v>
      </c>
      <c r="R60" s="39">
        <f t="shared" si="1"/>
        <v>7.1423728813559331</v>
      </c>
      <c r="S60" s="128">
        <f t="shared" si="5"/>
        <v>0.97988826815642449</v>
      </c>
      <c r="T60" s="92">
        <f t="shared" si="6"/>
        <v>2398.7999999999997</v>
      </c>
      <c r="U60" s="85"/>
      <c r="W60" s="77"/>
    </row>
    <row r="61" spans="1:75" ht="18.75">
      <c r="A61" s="7" t="s">
        <v>106</v>
      </c>
      <c r="B61" s="89">
        <v>188</v>
      </c>
      <c r="C61" s="51">
        <v>967.7</v>
      </c>
      <c r="D61" s="51">
        <v>214.3</v>
      </c>
      <c r="E61" s="63">
        <v>314.3</v>
      </c>
      <c r="F61" s="63">
        <v>771.6</v>
      </c>
      <c r="G61" s="63">
        <v>94</v>
      </c>
      <c r="H61" s="64"/>
      <c r="I61" s="64"/>
      <c r="J61" s="109">
        <v>154</v>
      </c>
      <c r="K61" s="42">
        <f>861.7+66.7</f>
        <v>928.40000000000009</v>
      </c>
      <c r="L61" s="123">
        <f t="shared" si="2"/>
        <v>3444.3</v>
      </c>
      <c r="M61" s="42">
        <v>35.6</v>
      </c>
      <c r="N61" s="138">
        <f t="shared" si="3"/>
        <v>1179.9000000000001</v>
      </c>
      <c r="O61" s="125">
        <v>139</v>
      </c>
      <c r="P61" s="109">
        <f t="shared" si="4"/>
        <v>1318.9</v>
      </c>
      <c r="Q61" s="39">
        <f t="shared" si="0"/>
        <v>18.321000000000002</v>
      </c>
      <c r="R61" s="39">
        <f t="shared" si="1"/>
        <v>7.0154255319148939</v>
      </c>
      <c r="S61" s="128">
        <f t="shared" si="5"/>
        <v>0.89001700267184847</v>
      </c>
      <c r="T61" s="92">
        <f t="shared" si="6"/>
        <v>3479.9</v>
      </c>
      <c r="U61" s="85"/>
      <c r="W61" s="77"/>
    </row>
    <row r="62" spans="1:75" ht="18.75">
      <c r="A62" s="7" t="s">
        <v>107</v>
      </c>
      <c r="B62" s="89">
        <v>182</v>
      </c>
      <c r="C62" s="51">
        <v>967.7</v>
      </c>
      <c r="D62" s="51">
        <v>214.3</v>
      </c>
      <c r="E62" s="63">
        <v>334</v>
      </c>
      <c r="F62" s="63">
        <v>503</v>
      </c>
      <c r="G62" s="63">
        <v>99.3</v>
      </c>
      <c r="H62" s="64"/>
      <c r="I62" s="64"/>
      <c r="J62" s="109">
        <v>154</v>
      </c>
      <c r="K62" s="42">
        <f>816.2+63.2</f>
        <v>879.40000000000009</v>
      </c>
      <c r="L62" s="123">
        <f t="shared" si="2"/>
        <v>3151.7</v>
      </c>
      <c r="M62" s="42">
        <v>27.6</v>
      </c>
      <c r="N62" s="138">
        <f t="shared" si="3"/>
        <v>936.3</v>
      </c>
      <c r="O62" s="125">
        <v>129.4</v>
      </c>
      <c r="P62" s="109">
        <f t="shared" si="4"/>
        <v>1065.7</v>
      </c>
      <c r="Q62" s="39">
        <f t="shared" si="0"/>
        <v>17.317</v>
      </c>
      <c r="R62" s="39">
        <f t="shared" si="1"/>
        <v>5.855494505494506</v>
      </c>
      <c r="S62" s="128">
        <f t="shared" si="5"/>
        <v>0.84124362399805686</v>
      </c>
      <c r="T62" s="92">
        <f t="shared" si="6"/>
        <v>3179.2999999999997</v>
      </c>
      <c r="U62" s="85"/>
      <c r="W62" s="77"/>
    </row>
    <row r="63" spans="1:75" s="107" customFormat="1" ht="18.75" hidden="1">
      <c r="A63" s="120">
        <v>159</v>
      </c>
      <c r="B63" s="106">
        <v>70</v>
      </c>
      <c r="C63" s="52">
        <v>795.7</v>
      </c>
      <c r="D63" s="52">
        <v>176.2</v>
      </c>
      <c r="E63" s="65">
        <v>275.10000000000002</v>
      </c>
      <c r="F63" s="65">
        <v>488.1</v>
      </c>
      <c r="G63" s="65">
        <v>34.1</v>
      </c>
      <c r="H63" s="66"/>
      <c r="I63" s="66"/>
      <c r="J63" s="98">
        <v>150</v>
      </c>
      <c r="K63" s="44">
        <f>723.6+56</f>
        <v>779.6</v>
      </c>
      <c r="L63" s="123">
        <f t="shared" si="2"/>
        <v>2698.8</v>
      </c>
      <c r="M63" s="42">
        <v>28.5</v>
      </c>
      <c r="N63" s="138">
        <f t="shared" si="3"/>
        <v>797.30000000000007</v>
      </c>
      <c r="O63" s="125">
        <v>115.5</v>
      </c>
      <c r="P63" s="109">
        <f t="shared" si="4"/>
        <v>912.80000000000007</v>
      </c>
      <c r="Q63" s="39">
        <f t="shared" si="0"/>
        <v>38.554000000000002</v>
      </c>
      <c r="R63" s="39">
        <f t="shared" si="1"/>
        <v>13.040000000000001</v>
      </c>
      <c r="S63" s="157">
        <f t="shared" si="5"/>
        <v>1.8729171726985669</v>
      </c>
      <c r="T63" s="92">
        <f t="shared" si="6"/>
        <v>2727.3</v>
      </c>
      <c r="U63" s="85"/>
      <c r="V63" s="80"/>
      <c r="W63" s="77"/>
      <c r="X63" s="80"/>
      <c r="Y63" s="80"/>
      <c r="Z63" s="87"/>
      <c r="AA63" s="87"/>
      <c r="AB63" s="87"/>
      <c r="AC63" s="87"/>
      <c r="AD63" s="87"/>
      <c r="AE63" s="87"/>
      <c r="AF63" s="87"/>
      <c r="AG63" s="87"/>
      <c r="AH63" s="87"/>
      <c r="AI63" s="87"/>
      <c r="AJ63" s="87"/>
      <c r="AK63" s="87"/>
      <c r="AL63" s="87"/>
      <c r="AM63" s="87"/>
      <c r="AN63" s="87"/>
      <c r="AO63" s="87"/>
      <c r="AP63" s="87"/>
      <c r="AQ63" s="87"/>
      <c r="AR63" s="87"/>
      <c r="AS63" s="87"/>
      <c r="AT63" s="87"/>
      <c r="AU63" s="87"/>
      <c r="AV63" s="87"/>
      <c r="AW63" s="87"/>
      <c r="AX63" s="87"/>
      <c r="AY63" s="87"/>
      <c r="AZ63" s="87"/>
      <c r="BA63" s="87"/>
      <c r="BB63" s="87"/>
      <c r="BC63" s="87"/>
      <c r="BD63" s="87"/>
      <c r="BE63" s="87"/>
      <c r="BF63" s="87"/>
      <c r="BG63" s="87"/>
      <c r="BH63" s="87"/>
      <c r="BI63" s="87"/>
      <c r="BJ63" s="87"/>
      <c r="BK63" s="87"/>
      <c r="BL63" s="87"/>
      <c r="BM63" s="87"/>
      <c r="BN63" s="87"/>
      <c r="BO63" s="87"/>
      <c r="BP63" s="87"/>
      <c r="BQ63" s="87"/>
      <c r="BR63" s="87"/>
      <c r="BS63" s="87"/>
      <c r="BT63" s="87"/>
      <c r="BU63" s="87"/>
      <c r="BV63" s="87"/>
      <c r="BW63" s="87"/>
    </row>
    <row r="64" spans="1:75" ht="18.75">
      <c r="A64" s="7" t="s">
        <v>108</v>
      </c>
      <c r="B64" s="89">
        <v>195</v>
      </c>
      <c r="C64" s="51">
        <v>952.1</v>
      </c>
      <c r="D64" s="51">
        <v>210.8</v>
      </c>
      <c r="E64" s="63">
        <v>322.89999999999998</v>
      </c>
      <c r="F64" s="63">
        <v>769.8</v>
      </c>
      <c r="G64" s="63">
        <v>91.1</v>
      </c>
      <c r="H64" s="64"/>
      <c r="I64" s="64"/>
      <c r="J64" s="109">
        <v>154</v>
      </c>
      <c r="K64" s="42">
        <f>794.4+61.6</f>
        <v>856</v>
      </c>
      <c r="L64" s="123">
        <f t="shared" si="2"/>
        <v>3356.7</v>
      </c>
      <c r="M64" s="42">
        <v>39.5</v>
      </c>
      <c r="N64" s="138">
        <f t="shared" si="3"/>
        <v>1183.7999999999997</v>
      </c>
      <c r="O64" s="125">
        <v>135.80000000000001</v>
      </c>
      <c r="P64" s="109">
        <f t="shared" si="4"/>
        <v>1319.5999999999997</v>
      </c>
      <c r="Q64" s="39">
        <f t="shared" si="0"/>
        <v>17.213999999999999</v>
      </c>
      <c r="R64" s="39">
        <f t="shared" si="1"/>
        <v>6.7671794871794857</v>
      </c>
      <c r="S64" s="128">
        <f t="shared" si="5"/>
        <v>0.8362399805683749</v>
      </c>
      <c r="T64" s="92">
        <f t="shared" si="6"/>
        <v>3396.2</v>
      </c>
      <c r="U64" s="85"/>
      <c r="W64" s="77"/>
    </row>
    <row r="65" spans="1:75" s="107" customFormat="1" ht="18.75" hidden="1">
      <c r="A65" s="120">
        <v>173</v>
      </c>
      <c r="B65" s="106">
        <v>105</v>
      </c>
      <c r="C65" s="52">
        <v>905.2</v>
      </c>
      <c r="D65" s="52">
        <v>200.4</v>
      </c>
      <c r="E65" s="65">
        <v>248.9</v>
      </c>
      <c r="F65" s="65">
        <v>766.3</v>
      </c>
      <c r="G65" s="65">
        <v>61.6</v>
      </c>
      <c r="H65" s="66"/>
      <c r="I65" s="66"/>
      <c r="J65" s="98">
        <v>154</v>
      </c>
      <c r="K65" s="44">
        <f>699.9+54.2</f>
        <v>754.1</v>
      </c>
      <c r="L65" s="123">
        <f t="shared" si="2"/>
        <v>3090.5</v>
      </c>
      <c r="M65" s="42">
        <v>27.6</v>
      </c>
      <c r="N65" s="138">
        <f t="shared" si="3"/>
        <v>1076.8</v>
      </c>
      <c r="O65" s="125">
        <v>119</v>
      </c>
      <c r="P65" s="109">
        <f t="shared" si="4"/>
        <v>1195.8</v>
      </c>
      <c r="Q65" s="39">
        <f t="shared" si="0"/>
        <v>29.433</v>
      </c>
      <c r="R65" s="39">
        <f t="shared" si="1"/>
        <v>11.388571428571428</v>
      </c>
      <c r="S65" s="157">
        <f t="shared" si="5"/>
        <v>1.4298275443283943</v>
      </c>
      <c r="T65" s="92">
        <f t="shared" si="6"/>
        <v>3118.1</v>
      </c>
      <c r="U65" s="85"/>
      <c r="V65" s="80"/>
      <c r="W65" s="77"/>
      <c r="X65" s="80"/>
      <c r="Y65" s="80"/>
      <c r="Z65" s="87"/>
      <c r="AA65" s="87"/>
      <c r="AB65" s="87"/>
      <c r="AC65" s="87"/>
      <c r="AD65" s="87"/>
      <c r="AE65" s="87"/>
      <c r="AF65" s="87"/>
      <c r="AG65" s="87"/>
      <c r="AH65" s="87"/>
      <c r="AI65" s="87"/>
      <c r="AJ65" s="87"/>
      <c r="AK65" s="87"/>
      <c r="AL65" s="87"/>
      <c r="AM65" s="87"/>
      <c r="AN65" s="87"/>
      <c r="AO65" s="87"/>
      <c r="AP65" s="87"/>
      <c r="AQ65" s="87"/>
      <c r="AR65" s="87"/>
      <c r="AS65" s="87"/>
      <c r="AT65" s="87"/>
      <c r="AU65" s="87"/>
      <c r="AV65" s="87"/>
      <c r="AW65" s="87"/>
      <c r="AX65" s="87"/>
      <c r="AY65" s="87"/>
      <c r="AZ65" s="87"/>
      <c r="BA65" s="87"/>
      <c r="BB65" s="87"/>
      <c r="BC65" s="87"/>
      <c r="BD65" s="87"/>
      <c r="BE65" s="87"/>
      <c r="BF65" s="87"/>
      <c r="BG65" s="87"/>
      <c r="BH65" s="87"/>
      <c r="BI65" s="87"/>
      <c r="BJ65" s="87"/>
      <c r="BK65" s="87"/>
      <c r="BL65" s="87"/>
      <c r="BM65" s="87"/>
      <c r="BN65" s="87"/>
      <c r="BO65" s="87"/>
      <c r="BP65" s="87"/>
      <c r="BQ65" s="87"/>
      <c r="BR65" s="87"/>
      <c r="BS65" s="87"/>
      <c r="BT65" s="87"/>
      <c r="BU65" s="87"/>
      <c r="BV65" s="87"/>
      <c r="BW65" s="87"/>
    </row>
    <row r="66" spans="1:75" ht="18.75">
      <c r="A66" s="7" t="s">
        <v>109</v>
      </c>
      <c r="B66" s="89">
        <v>166</v>
      </c>
      <c r="C66" s="51">
        <v>873.9</v>
      </c>
      <c r="D66" s="51">
        <v>193.5</v>
      </c>
      <c r="E66" s="63">
        <v>390.9</v>
      </c>
      <c r="F66" s="63">
        <v>614.79999999999995</v>
      </c>
      <c r="G66" s="63">
        <v>71.5</v>
      </c>
      <c r="H66" s="64"/>
      <c r="I66" s="64"/>
      <c r="J66" s="109">
        <v>154</v>
      </c>
      <c r="K66" s="42">
        <f>752.6+58.3</f>
        <v>810.9</v>
      </c>
      <c r="L66" s="123">
        <f t="shared" si="2"/>
        <v>3109.5</v>
      </c>
      <c r="M66" s="42">
        <v>24.2</v>
      </c>
      <c r="N66" s="138">
        <f t="shared" si="3"/>
        <v>1077.1999999999998</v>
      </c>
      <c r="O66" s="125">
        <v>124.9</v>
      </c>
      <c r="P66" s="109">
        <f t="shared" si="4"/>
        <v>1202.0999999999999</v>
      </c>
      <c r="Q66" s="39">
        <f t="shared" si="0"/>
        <v>18.731999999999999</v>
      </c>
      <c r="R66" s="39">
        <f t="shared" si="1"/>
        <v>7.2415662650602401</v>
      </c>
      <c r="S66" s="128">
        <f t="shared" si="5"/>
        <v>0.90998299732815147</v>
      </c>
      <c r="T66" s="92">
        <f t="shared" si="6"/>
        <v>3133.7</v>
      </c>
      <c r="U66" s="85"/>
      <c r="W66" s="77"/>
    </row>
    <row r="67" spans="1:75" s="107" customFormat="1" ht="18.75">
      <c r="A67" s="120">
        <v>201</v>
      </c>
      <c r="B67" s="106">
        <v>181</v>
      </c>
      <c r="C67" s="52">
        <v>936.4</v>
      </c>
      <c r="D67" s="52">
        <v>207.3</v>
      </c>
      <c r="E67" s="65">
        <v>343.8</v>
      </c>
      <c r="F67" s="65">
        <v>753.9</v>
      </c>
      <c r="G67" s="65">
        <v>78.5</v>
      </c>
      <c r="H67" s="66"/>
      <c r="I67" s="66"/>
      <c r="J67" s="98">
        <v>154</v>
      </c>
      <c r="K67" s="44">
        <f>856.3+66.4</f>
        <v>922.69999999999993</v>
      </c>
      <c r="L67" s="123">
        <f t="shared" si="2"/>
        <v>3396.6</v>
      </c>
      <c r="M67" s="42">
        <v>33.4</v>
      </c>
      <c r="N67" s="138">
        <f t="shared" si="3"/>
        <v>1176.2</v>
      </c>
      <c r="O67" s="125">
        <v>121.5</v>
      </c>
      <c r="P67" s="109">
        <f t="shared" si="4"/>
        <v>1297.7</v>
      </c>
      <c r="Q67" s="39">
        <f t="shared" si="0"/>
        <v>18.765999999999998</v>
      </c>
      <c r="R67" s="39">
        <f t="shared" si="1"/>
        <v>7.1696132596685089</v>
      </c>
      <c r="S67" s="128">
        <f t="shared" si="5"/>
        <v>0.91163468545057069</v>
      </c>
      <c r="T67" s="92">
        <f t="shared" si="6"/>
        <v>3430</v>
      </c>
      <c r="U67" s="85"/>
      <c r="V67" s="80"/>
      <c r="W67" s="77"/>
      <c r="X67" s="80"/>
      <c r="Y67" s="80"/>
      <c r="Z67" s="87"/>
      <c r="AA67" s="87"/>
      <c r="AB67" s="87"/>
      <c r="AC67" s="87"/>
      <c r="AD67" s="87"/>
      <c r="AE67" s="87"/>
      <c r="AF67" s="87"/>
      <c r="AG67" s="87"/>
      <c r="AH67" s="87"/>
      <c r="AI67" s="87"/>
      <c r="AJ67" s="87"/>
      <c r="AK67" s="87"/>
      <c r="AL67" s="87"/>
      <c r="AM67" s="87"/>
      <c r="AN67" s="87"/>
      <c r="AO67" s="87"/>
      <c r="AP67" s="87"/>
      <c r="AQ67" s="87"/>
      <c r="AR67" s="87"/>
      <c r="AS67" s="87"/>
      <c r="AT67" s="87"/>
      <c r="AU67" s="87"/>
      <c r="AV67" s="87"/>
      <c r="AW67" s="87"/>
      <c r="AX67" s="87"/>
      <c r="AY67" s="87"/>
      <c r="AZ67" s="87"/>
      <c r="BA67" s="87"/>
      <c r="BB67" s="87"/>
      <c r="BC67" s="87"/>
      <c r="BD67" s="87"/>
      <c r="BE67" s="87"/>
      <c r="BF67" s="87"/>
      <c r="BG67" s="87"/>
      <c r="BH67" s="87"/>
      <c r="BI67" s="87"/>
      <c r="BJ67" s="87"/>
      <c r="BK67" s="87"/>
      <c r="BL67" s="87"/>
      <c r="BM67" s="87"/>
      <c r="BN67" s="87"/>
      <c r="BO67" s="87"/>
      <c r="BP67" s="87"/>
      <c r="BQ67" s="87"/>
      <c r="BR67" s="87"/>
      <c r="BS67" s="87"/>
      <c r="BT67" s="87"/>
      <c r="BU67" s="87"/>
      <c r="BV67" s="87"/>
      <c r="BW67" s="87"/>
    </row>
    <row r="68" spans="1:75" ht="18.75">
      <c r="A68" s="7" t="s">
        <v>110</v>
      </c>
      <c r="B68" s="89">
        <v>194</v>
      </c>
      <c r="C68" s="51">
        <v>913</v>
      </c>
      <c r="D68" s="51">
        <v>202.1</v>
      </c>
      <c r="E68" s="63">
        <v>268.5</v>
      </c>
      <c r="F68" s="63">
        <v>904.5</v>
      </c>
      <c r="G68" s="63">
        <v>86</v>
      </c>
      <c r="H68" s="64"/>
      <c r="I68" s="64"/>
      <c r="J68" s="109">
        <v>154</v>
      </c>
      <c r="K68" s="42">
        <f>843.5+65.3</f>
        <v>908.8</v>
      </c>
      <c r="L68" s="123">
        <f t="shared" si="2"/>
        <v>3436.9</v>
      </c>
      <c r="M68" s="42">
        <v>34</v>
      </c>
      <c r="N68" s="138">
        <f t="shared" si="3"/>
        <v>1259</v>
      </c>
      <c r="O68" s="125">
        <v>134.80000000000001</v>
      </c>
      <c r="P68" s="109">
        <f t="shared" si="4"/>
        <v>1393.8</v>
      </c>
      <c r="Q68" s="39">
        <f t="shared" ref="Q68:Q131" si="7">ROUND(L68/B68,3)</f>
        <v>17.716000000000001</v>
      </c>
      <c r="R68" s="39">
        <f t="shared" ref="R68:R131" si="8">P68/B68</f>
        <v>7.1845360824742261</v>
      </c>
      <c r="S68" s="128">
        <f t="shared" si="5"/>
        <v>0.86062666990527081</v>
      </c>
      <c r="T68" s="92">
        <f t="shared" si="6"/>
        <v>3470.9</v>
      </c>
      <c r="U68" s="85"/>
      <c r="W68" s="77"/>
    </row>
    <row r="69" spans="1:75" ht="18.75">
      <c r="A69" s="7" t="s">
        <v>111</v>
      </c>
      <c r="B69" s="89">
        <v>191</v>
      </c>
      <c r="C69" s="51">
        <v>959.9</v>
      </c>
      <c r="D69" s="51">
        <v>212.5</v>
      </c>
      <c r="E69" s="63">
        <v>406</v>
      </c>
      <c r="F69" s="63">
        <v>908.1</v>
      </c>
      <c r="G69" s="63">
        <v>108.9</v>
      </c>
      <c r="H69" s="64"/>
      <c r="I69" s="64"/>
      <c r="J69" s="109">
        <v>154</v>
      </c>
      <c r="K69" s="42">
        <f>923.5+71.6</f>
        <v>995.1</v>
      </c>
      <c r="L69" s="123">
        <f t="shared" ref="L69:L132" si="9">ROUND(C69+D69+H69+J69+K69+F69+G69+E69,1)</f>
        <v>3744.5</v>
      </c>
      <c r="M69" s="42">
        <v>31.9</v>
      </c>
      <c r="N69" s="138">
        <f t="shared" ref="N69:N132" si="10">E69+F69+G69+H69+I69</f>
        <v>1423</v>
      </c>
      <c r="O69" s="125">
        <v>84.1</v>
      </c>
      <c r="P69" s="109">
        <f t="shared" ref="P69:P132" si="11">N69+O69</f>
        <v>1507.1</v>
      </c>
      <c r="Q69" s="39">
        <f t="shared" si="7"/>
        <v>19.605</v>
      </c>
      <c r="R69" s="39">
        <f t="shared" si="8"/>
        <v>7.8905759162303664</v>
      </c>
      <c r="S69" s="128">
        <f t="shared" ref="S69:S132" si="12">Q69/20.585</f>
        <v>0.95239251882438669</v>
      </c>
      <c r="T69" s="92">
        <f t="shared" ref="T69:T132" si="13">L69+M69</f>
        <v>3776.4</v>
      </c>
      <c r="U69" s="85"/>
      <c r="W69" s="77"/>
    </row>
    <row r="70" spans="1:75" ht="18.75">
      <c r="A70" s="7" t="s">
        <v>112</v>
      </c>
      <c r="B70" s="89">
        <v>235</v>
      </c>
      <c r="C70" s="51">
        <v>1038.0999999999999</v>
      </c>
      <c r="D70" s="51">
        <v>229.8</v>
      </c>
      <c r="E70" s="63">
        <v>543.6</v>
      </c>
      <c r="F70" s="63">
        <v>520.29999999999995</v>
      </c>
      <c r="G70" s="63">
        <v>99.3</v>
      </c>
      <c r="H70" s="64"/>
      <c r="I70" s="64"/>
      <c r="J70" s="109">
        <v>154</v>
      </c>
      <c r="K70" s="42">
        <f>950.7+73.7</f>
        <v>1024.4000000000001</v>
      </c>
      <c r="L70" s="123">
        <f t="shared" si="9"/>
        <v>3609.5</v>
      </c>
      <c r="M70" s="42">
        <v>32</v>
      </c>
      <c r="N70" s="138">
        <f t="shared" si="10"/>
        <v>1163.2</v>
      </c>
      <c r="O70" s="125">
        <v>119.2</v>
      </c>
      <c r="P70" s="109">
        <f t="shared" si="11"/>
        <v>1282.4000000000001</v>
      </c>
      <c r="Q70" s="39">
        <f t="shared" si="7"/>
        <v>15.36</v>
      </c>
      <c r="R70" s="39">
        <f t="shared" si="8"/>
        <v>5.4570212765957447</v>
      </c>
      <c r="S70" s="128">
        <f t="shared" si="12"/>
        <v>0.74617439883410241</v>
      </c>
      <c r="T70" s="92">
        <f t="shared" si="13"/>
        <v>3641.5</v>
      </c>
      <c r="U70" s="85"/>
      <c r="W70" s="77"/>
    </row>
    <row r="71" spans="1:75" ht="18.75">
      <c r="A71" s="7" t="s">
        <v>113</v>
      </c>
      <c r="B71" s="89">
        <v>157</v>
      </c>
      <c r="C71" s="51">
        <v>858.3</v>
      </c>
      <c r="D71" s="51">
        <v>190</v>
      </c>
      <c r="E71" s="63">
        <v>360.2</v>
      </c>
      <c r="F71" s="63">
        <v>437.5</v>
      </c>
      <c r="G71" s="63">
        <v>24.1</v>
      </c>
      <c r="H71" s="64"/>
      <c r="I71" s="64">
        <v>67.599999999999994</v>
      </c>
      <c r="J71" s="109">
        <v>150</v>
      </c>
      <c r="K71" s="42">
        <f>665.4+51.6</f>
        <v>717</v>
      </c>
      <c r="L71" s="123">
        <f>ROUND(C71+D71+H71+J71+K71+F71+G71+E71+I71,1)</f>
        <v>2804.7</v>
      </c>
      <c r="M71" s="42">
        <v>60.4</v>
      </c>
      <c r="N71" s="138">
        <f t="shared" si="10"/>
        <v>889.40000000000009</v>
      </c>
      <c r="O71" s="125">
        <v>90.6</v>
      </c>
      <c r="P71" s="109">
        <f t="shared" si="11"/>
        <v>980.00000000000011</v>
      </c>
      <c r="Q71" s="39">
        <f t="shared" si="7"/>
        <v>17.864000000000001</v>
      </c>
      <c r="R71" s="39">
        <f t="shared" si="8"/>
        <v>6.2420382165605099</v>
      </c>
      <c r="S71" s="128">
        <f t="shared" si="12"/>
        <v>0.86781637114403687</v>
      </c>
      <c r="T71" s="92">
        <f t="shared" si="13"/>
        <v>2865.1</v>
      </c>
      <c r="U71" s="85"/>
      <c r="W71" s="77"/>
    </row>
    <row r="72" spans="1:75" ht="18.75">
      <c r="A72" s="7" t="s">
        <v>114</v>
      </c>
      <c r="B72" s="89">
        <v>123</v>
      </c>
      <c r="C72" s="51">
        <v>772.3</v>
      </c>
      <c r="D72" s="51">
        <v>171</v>
      </c>
      <c r="E72" s="63">
        <v>216.1</v>
      </c>
      <c r="F72" s="63">
        <v>218.7</v>
      </c>
      <c r="G72" s="63">
        <v>33.299999999999997</v>
      </c>
      <c r="H72" s="64"/>
      <c r="I72" s="64"/>
      <c r="J72" s="109">
        <v>130</v>
      </c>
      <c r="K72" s="42">
        <f>472.7+36.6</f>
        <v>509.3</v>
      </c>
      <c r="L72" s="123">
        <f t="shared" si="9"/>
        <v>2050.6999999999998</v>
      </c>
      <c r="M72" s="42">
        <v>17</v>
      </c>
      <c r="N72" s="138">
        <f t="shared" si="10"/>
        <v>468.09999999999997</v>
      </c>
      <c r="O72" s="125">
        <v>80.099999999999994</v>
      </c>
      <c r="P72" s="109">
        <f t="shared" si="11"/>
        <v>548.19999999999993</v>
      </c>
      <c r="Q72" s="39">
        <f t="shared" si="7"/>
        <v>16.672000000000001</v>
      </c>
      <c r="R72" s="39">
        <f t="shared" si="8"/>
        <v>4.4569105691056903</v>
      </c>
      <c r="S72" s="128">
        <f t="shared" si="12"/>
        <v>0.8099101287345154</v>
      </c>
      <c r="T72" s="92">
        <f t="shared" si="13"/>
        <v>2067.6999999999998</v>
      </c>
      <c r="U72" s="85"/>
      <c r="W72" s="77"/>
    </row>
    <row r="73" spans="1:75" ht="18.75">
      <c r="A73" s="7" t="s">
        <v>115</v>
      </c>
      <c r="B73" s="89">
        <v>225</v>
      </c>
      <c r="C73" s="6">
        <v>1038.0999999999999</v>
      </c>
      <c r="D73" s="110">
        <v>229.8</v>
      </c>
      <c r="E73" s="67">
        <v>379.9</v>
      </c>
      <c r="F73" s="64">
        <v>766.5</v>
      </c>
      <c r="G73" s="64">
        <v>79</v>
      </c>
      <c r="H73" s="64"/>
      <c r="I73" s="64"/>
      <c r="J73" s="109">
        <v>154</v>
      </c>
      <c r="K73" s="42">
        <f>1118+86.6</f>
        <v>1204.5999999999999</v>
      </c>
      <c r="L73" s="123">
        <f t="shared" si="9"/>
        <v>3851.9</v>
      </c>
      <c r="M73" s="42">
        <v>36.700000000000003</v>
      </c>
      <c r="N73" s="138">
        <f t="shared" si="10"/>
        <v>1225.4000000000001</v>
      </c>
      <c r="O73" s="125">
        <v>111.7</v>
      </c>
      <c r="P73" s="109">
        <f t="shared" si="11"/>
        <v>1337.1000000000001</v>
      </c>
      <c r="Q73" s="39">
        <f t="shared" si="7"/>
        <v>17.12</v>
      </c>
      <c r="R73" s="39">
        <f t="shared" si="8"/>
        <v>5.9426666666666677</v>
      </c>
      <c r="S73" s="128">
        <f t="shared" si="12"/>
        <v>0.83167354870051013</v>
      </c>
      <c r="T73" s="92">
        <f t="shared" si="13"/>
        <v>3888.6</v>
      </c>
      <c r="U73" s="85"/>
      <c r="W73" s="77"/>
    </row>
    <row r="74" spans="1:75" s="107" customFormat="1" ht="18.75" hidden="1">
      <c r="A74" s="120">
        <v>6</v>
      </c>
      <c r="B74" s="106">
        <v>189</v>
      </c>
      <c r="C74" s="97">
        <v>1700.9</v>
      </c>
      <c r="D74" s="99">
        <v>376.6</v>
      </c>
      <c r="E74" s="68">
        <v>508.4</v>
      </c>
      <c r="F74" s="66">
        <v>1385.6</v>
      </c>
      <c r="G74" s="66">
        <v>165.6</v>
      </c>
      <c r="H74" s="66"/>
      <c r="I74" s="66"/>
      <c r="J74" s="98">
        <v>217</v>
      </c>
      <c r="K74" s="44">
        <f>1487+115.1</f>
        <v>1602.1</v>
      </c>
      <c r="L74" s="123">
        <f t="shared" si="9"/>
        <v>5956.2</v>
      </c>
      <c r="M74" s="42">
        <v>62.6</v>
      </c>
      <c r="N74" s="138">
        <f t="shared" si="10"/>
        <v>2059.6</v>
      </c>
      <c r="O74" s="125">
        <v>171.6</v>
      </c>
      <c r="P74" s="109">
        <f t="shared" si="11"/>
        <v>2231.1999999999998</v>
      </c>
      <c r="Q74" s="39">
        <f t="shared" si="7"/>
        <v>31.513999999999999</v>
      </c>
      <c r="R74" s="39">
        <f t="shared" si="8"/>
        <v>11.805291005291004</v>
      </c>
      <c r="S74" s="157">
        <f t="shared" si="12"/>
        <v>1.5309205732329365</v>
      </c>
      <c r="T74" s="92">
        <f t="shared" si="13"/>
        <v>6018.8</v>
      </c>
      <c r="U74" s="85"/>
      <c r="V74" s="80"/>
      <c r="W74" s="77"/>
      <c r="X74" s="80"/>
      <c r="Y74" s="80"/>
      <c r="Z74" s="87"/>
      <c r="AA74" s="87"/>
      <c r="AB74" s="87"/>
      <c r="AC74" s="87"/>
      <c r="AD74" s="87"/>
      <c r="AE74" s="87"/>
      <c r="AF74" s="87"/>
      <c r="AG74" s="87"/>
      <c r="AH74" s="87"/>
      <c r="AI74" s="87"/>
      <c r="AJ74" s="87"/>
      <c r="AK74" s="87"/>
      <c r="AL74" s="87"/>
      <c r="AM74" s="87"/>
      <c r="AN74" s="87"/>
      <c r="AO74" s="87"/>
      <c r="AP74" s="87"/>
      <c r="AQ74" s="87"/>
      <c r="AR74" s="87"/>
      <c r="AS74" s="87"/>
      <c r="AT74" s="87"/>
      <c r="AU74" s="87"/>
      <c r="AV74" s="87"/>
      <c r="AW74" s="87"/>
      <c r="AX74" s="87"/>
      <c r="AY74" s="87"/>
      <c r="AZ74" s="87"/>
      <c r="BA74" s="87"/>
      <c r="BB74" s="87"/>
      <c r="BC74" s="87"/>
      <c r="BD74" s="87"/>
      <c r="BE74" s="87"/>
      <c r="BF74" s="87"/>
      <c r="BG74" s="87"/>
      <c r="BH74" s="87"/>
      <c r="BI74" s="87"/>
      <c r="BJ74" s="87"/>
      <c r="BK74" s="87"/>
      <c r="BL74" s="87"/>
      <c r="BM74" s="87"/>
      <c r="BN74" s="87"/>
      <c r="BO74" s="87"/>
      <c r="BP74" s="87"/>
      <c r="BQ74" s="87"/>
      <c r="BR74" s="87"/>
      <c r="BS74" s="87"/>
      <c r="BT74" s="87"/>
      <c r="BU74" s="87"/>
      <c r="BV74" s="87"/>
      <c r="BW74" s="87"/>
    </row>
    <row r="75" spans="1:75" ht="18.75">
      <c r="A75" s="7" t="s">
        <v>116</v>
      </c>
      <c r="B75" s="89">
        <v>190</v>
      </c>
      <c r="C75" s="6">
        <v>881.7</v>
      </c>
      <c r="D75" s="110">
        <v>195.2</v>
      </c>
      <c r="E75" s="67">
        <v>471.5</v>
      </c>
      <c r="F75" s="64">
        <v>523.1</v>
      </c>
      <c r="G75" s="64">
        <v>66</v>
      </c>
      <c r="H75" s="64"/>
      <c r="I75" s="64"/>
      <c r="J75" s="109">
        <v>154</v>
      </c>
      <c r="K75" s="42">
        <f>1012.5+78.4</f>
        <v>1090.9000000000001</v>
      </c>
      <c r="L75" s="123">
        <f t="shared" si="9"/>
        <v>3382.4</v>
      </c>
      <c r="M75" s="42">
        <v>25.3</v>
      </c>
      <c r="N75" s="138">
        <f t="shared" si="10"/>
        <v>1060.5999999999999</v>
      </c>
      <c r="O75" s="125">
        <v>89.8</v>
      </c>
      <c r="P75" s="109">
        <f t="shared" si="11"/>
        <v>1150.3999999999999</v>
      </c>
      <c r="Q75" s="39">
        <f t="shared" si="7"/>
        <v>17.802</v>
      </c>
      <c r="R75" s="39">
        <f t="shared" si="8"/>
        <v>6.0547368421052621</v>
      </c>
      <c r="S75" s="128">
        <f t="shared" si="12"/>
        <v>0.86480446927374299</v>
      </c>
      <c r="T75" s="92">
        <f t="shared" si="13"/>
        <v>3407.7000000000003</v>
      </c>
      <c r="U75" s="85"/>
      <c r="W75" s="77"/>
    </row>
    <row r="76" spans="1:75" ht="18.75">
      <c r="A76" s="7" t="s">
        <v>117</v>
      </c>
      <c r="B76" s="89">
        <v>170</v>
      </c>
      <c r="C76" s="6">
        <v>873.9</v>
      </c>
      <c r="D76" s="110">
        <v>193.5</v>
      </c>
      <c r="E76" s="67">
        <v>442</v>
      </c>
      <c r="F76" s="64">
        <v>346.9</v>
      </c>
      <c r="G76" s="64">
        <v>67.2</v>
      </c>
      <c r="H76" s="64"/>
      <c r="I76" s="64"/>
      <c r="J76" s="109">
        <v>154</v>
      </c>
      <c r="K76" s="42">
        <f>756.3+58.6</f>
        <v>814.9</v>
      </c>
      <c r="L76" s="123">
        <f t="shared" si="9"/>
        <v>2892.4</v>
      </c>
      <c r="M76" s="42">
        <v>24.8</v>
      </c>
      <c r="N76" s="138">
        <f t="shared" si="10"/>
        <v>856.1</v>
      </c>
      <c r="O76" s="125">
        <v>101.5</v>
      </c>
      <c r="P76" s="109">
        <f t="shared" si="11"/>
        <v>957.6</v>
      </c>
      <c r="Q76" s="39">
        <f t="shared" si="7"/>
        <v>17.013999999999999</v>
      </c>
      <c r="R76" s="39">
        <f t="shared" si="8"/>
        <v>5.6329411764705881</v>
      </c>
      <c r="S76" s="128">
        <f t="shared" si="12"/>
        <v>0.82652416808355589</v>
      </c>
      <c r="T76" s="92">
        <f t="shared" si="13"/>
        <v>2917.2000000000003</v>
      </c>
      <c r="U76" s="85"/>
      <c r="W76" s="77"/>
    </row>
    <row r="77" spans="1:75" ht="18.75">
      <c r="A77" s="7" t="s">
        <v>118</v>
      </c>
      <c r="B77" s="89">
        <v>153</v>
      </c>
      <c r="C77" s="6">
        <v>670.7</v>
      </c>
      <c r="D77" s="110">
        <v>148.5</v>
      </c>
      <c r="E77" s="67">
        <v>278.3</v>
      </c>
      <c r="F77" s="64">
        <v>312.2</v>
      </c>
      <c r="G77" s="64">
        <v>32.5</v>
      </c>
      <c r="H77" s="64"/>
      <c r="I77" s="64"/>
      <c r="J77" s="109">
        <v>150</v>
      </c>
      <c r="K77" s="42">
        <f>723.6+56</f>
        <v>779.6</v>
      </c>
      <c r="L77" s="123">
        <f t="shared" si="9"/>
        <v>2371.8000000000002</v>
      </c>
      <c r="M77" s="42">
        <v>34.9</v>
      </c>
      <c r="N77" s="138">
        <f t="shared" si="10"/>
        <v>623</v>
      </c>
      <c r="O77" s="125">
        <v>106.6</v>
      </c>
      <c r="P77" s="109">
        <f t="shared" si="11"/>
        <v>729.6</v>
      </c>
      <c r="Q77" s="39">
        <f t="shared" si="7"/>
        <v>15.502000000000001</v>
      </c>
      <c r="R77" s="39">
        <f t="shared" si="8"/>
        <v>4.7686274509803921</v>
      </c>
      <c r="S77" s="128">
        <f t="shared" si="12"/>
        <v>0.75307262569832401</v>
      </c>
      <c r="T77" s="92">
        <f t="shared" si="13"/>
        <v>2406.7000000000003</v>
      </c>
      <c r="U77" s="85"/>
      <c r="W77" s="77"/>
    </row>
    <row r="78" spans="1:75" ht="18.75">
      <c r="A78" s="7" t="s">
        <v>119</v>
      </c>
      <c r="B78" s="89">
        <v>235</v>
      </c>
      <c r="C78" s="6">
        <v>1038.0999999999999</v>
      </c>
      <c r="D78" s="110">
        <v>229.8</v>
      </c>
      <c r="E78" s="67">
        <v>239</v>
      </c>
      <c r="F78" s="64">
        <v>724.3</v>
      </c>
      <c r="G78" s="64">
        <v>109</v>
      </c>
      <c r="H78" s="64"/>
      <c r="I78" s="64"/>
      <c r="J78" s="109">
        <v>154</v>
      </c>
      <c r="K78" s="42">
        <f>1101.6+85.3</f>
        <v>1186.8999999999999</v>
      </c>
      <c r="L78" s="123">
        <f t="shared" si="9"/>
        <v>3681.1</v>
      </c>
      <c r="M78" s="42">
        <v>34</v>
      </c>
      <c r="N78" s="138">
        <f t="shared" si="10"/>
        <v>1072.3</v>
      </c>
      <c r="O78" s="125">
        <v>114.3</v>
      </c>
      <c r="P78" s="109">
        <f t="shared" si="11"/>
        <v>1186.5999999999999</v>
      </c>
      <c r="Q78" s="39">
        <f t="shared" si="7"/>
        <v>15.664</v>
      </c>
      <c r="R78" s="39">
        <f t="shared" si="8"/>
        <v>5.0493617021276593</v>
      </c>
      <c r="S78" s="128">
        <f t="shared" si="12"/>
        <v>0.76094243381102744</v>
      </c>
      <c r="T78" s="92">
        <f t="shared" si="13"/>
        <v>3715.1</v>
      </c>
      <c r="U78" s="85"/>
      <c r="W78" s="77"/>
    </row>
    <row r="79" spans="1:75" s="107" customFormat="1" ht="18.75" hidden="1">
      <c r="A79" s="120">
        <v>50</v>
      </c>
      <c r="B79" s="106">
        <v>269</v>
      </c>
      <c r="C79" s="97">
        <v>1489.9</v>
      </c>
      <c r="D79" s="99">
        <v>329.9</v>
      </c>
      <c r="E79" s="68">
        <v>548.79999999999995</v>
      </c>
      <c r="F79" s="66">
        <v>780</v>
      </c>
      <c r="G79" s="66">
        <v>102.9</v>
      </c>
      <c r="H79" s="66">
        <v>27.6</v>
      </c>
      <c r="I79" s="66"/>
      <c r="J79" s="98">
        <v>203</v>
      </c>
      <c r="K79" s="44">
        <f>1229+95.1</f>
        <v>1324.1</v>
      </c>
      <c r="L79" s="123">
        <f t="shared" si="9"/>
        <v>4806.2</v>
      </c>
      <c r="M79" s="42">
        <v>42.4</v>
      </c>
      <c r="N79" s="138">
        <f t="shared" si="10"/>
        <v>1459.3</v>
      </c>
      <c r="O79" s="125">
        <v>165</v>
      </c>
      <c r="P79" s="109">
        <f t="shared" si="11"/>
        <v>1624.3</v>
      </c>
      <c r="Q79" s="39">
        <f t="shared" si="7"/>
        <v>17.867000000000001</v>
      </c>
      <c r="R79" s="39">
        <f t="shared" si="8"/>
        <v>6.0382899628252789</v>
      </c>
      <c r="S79" s="128">
        <f t="shared" si="12"/>
        <v>0.86796210833130927</v>
      </c>
      <c r="T79" s="92">
        <f t="shared" si="13"/>
        <v>4848.5999999999995</v>
      </c>
      <c r="U79" s="85"/>
      <c r="V79" s="80"/>
      <c r="W79" s="77"/>
      <c r="X79" s="80"/>
      <c r="Y79" s="80"/>
      <c r="Z79" s="87"/>
      <c r="AA79" s="87"/>
      <c r="AB79" s="87"/>
      <c r="AC79" s="87"/>
      <c r="AD79" s="87"/>
      <c r="AE79" s="87"/>
      <c r="AF79" s="87"/>
      <c r="AG79" s="87"/>
      <c r="AH79" s="87"/>
      <c r="AI79" s="87"/>
      <c r="AJ79" s="87"/>
      <c r="AK79" s="87"/>
      <c r="AL79" s="87"/>
      <c r="AM79" s="87"/>
      <c r="AN79" s="87"/>
      <c r="AO79" s="87"/>
      <c r="AP79" s="87"/>
      <c r="AQ79" s="87"/>
      <c r="AR79" s="87"/>
      <c r="AS79" s="87"/>
      <c r="AT79" s="87"/>
      <c r="AU79" s="87"/>
      <c r="AV79" s="87"/>
      <c r="AW79" s="87"/>
      <c r="AX79" s="87"/>
      <c r="AY79" s="87"/>
      <c r="AZ79" s="87"/>
      <c r="BA79" s="87"/>
      <c r="BB79" s="87"/>
      <c r="BC79" s="87"/>
      <c r="BD79" s="87"/>
      <c r="BE79" s="87"/>
      <c r="BF79" s="87"/>
      <c r="BG79" s="87"/>
      <c r="BH79" s="87"/>
      <c r="BI79" s="87"/>
      <c r="BJ79" s="87"/>
      <c r="BK79" s="87"/>
      <c r="BL79" s="87"/>
      <c r="BM79" s="87"/>
      <c r="BN79" s="87"/>
      <c r="BO79" s="87"/>
      <c r="BP79" s="87"/>
      <c r="BQ79" s="87"/>
      <c r="BR79" s="87"/>
      <c r="BS79" s="87"/>
      <c r="BT79" s="87"/>
      <c r="BU79" s="87"/>
      <c r="BV79" s="87"/>
      <c r="BW79" s="87"/>
    </row>
    <row r="80" spans="1:75" ht="18.75">
      <c r="A80" s="7" t="s">
        <v>120</v>
      </c>
      <c r="B80" s="89">
        <v>191</v>
      </c>
      <c r="C80" s="6">
        <v>928.6</v>
      </c>
      <c r="D80" s="110">
        <v>205.6</v>
      </c>
      <c r="E80" s="67">
        <v>630.79999999999995</v>
      </c>
      <c r="F80" s="64">
        <v>381.6</v>
      </c>
      <c r="G80" s="64">
        <v>68.400000000000006</v>
      </c>
      <c r="H80" s="64"/>
      <c r="I80" s="64"/>
      <c r="J80" s="109">
        <v>154</v>
      </c>
      <c r="K80" s="42">
        <f>874.4+67.8</f>
        <v>942.19999999999993</v>
      </c>
      <c r="L80" s="123">
        <f t="shared" si="9"/>
        <v>3311.2</v>
      </c>
      <c r="M80" s="42">
        <v>25.7</v>
      </c>
      <c r="N80" s="138">
        <f t="shared" si="10"/>
        <v>1080.8</v>
      </c>
      <c r="O80" s="125">
        <v>116.1</v>
      </c>
      <c r="P80" s="109">
        <f t="shared" si="11"/>
        <v>1196.8999999999999</v>
      </c>
      <c r="Q80" s="39">
        <f t="shared" si="7"/>
        <v>17.335999999999999</v>
      </c>
      <c r="R80" s="39">
        <f t="shared" si="8"/>
        <v>6.2664921465968577</v>
      </c>
      <c r="S80" s="128">
        <f t="shared" si="12"/>
        <v>0.84216662618411453</v>
      </c>
      <c r="T80" s="92">
        <f t="shared" si="13"/>
        <v>3336.8999999999996</v>
      </c>
      <c r="U80" s="85"/>
      <c r="W80" s="77"/>
    </row>
    <row r="81" spans="1:75" ht="18.75">
      <c r="A81" s="7" t="s">
        <v>121</v>
      </c>
      <c r="B81" s="89">
        <v>201</v>
      </c>
      <c r="C81" s="6">
        <v>1030.3</v>
      </c>
      <c r="D81" s="110">
        <v>228.1</v>
      </c>
      <c r="E81" s="67">
        <v>456</v>
      </c>
      <c r="F81" s="64">
        <v>312.2</v>
      </c>
      <c r="G81" s="64">
        <v>83</v>
      </c>
      <c r="H81" s="64"/>
      <c r="I81" s="64"/>
      <c r="J81" s="109">
        <v>154</v>
      </c>
      <c r="K81" s="42">
        <f>952.6+73.7</f>
        <v>1026.3</v>
      </c>
      <c r="L81" s="123">
        <f t="shared" si="9"/>
        <v>3289.9</v>
      </c>
      <c r="M81" s="42">
        <v>30.4</v>
      </c>
      <c r="N81" s="138">
        <f t="shared" si="10"/>
        <v>851.2</v>
      </c>
      <c r="O81" s="125">
        <v>109.4</v>
      </c>
      <c r="P81" s="109">
        <f t="shared" si="11"/>
        <v>960.6</v>
      </c>
      <c r="Q81" s="39">
        <f t="shared" si="7"/>
        <v>16.367999999999999</v>
      </c>
      <c r="R81" s="39">
        <f t="shared" si="8"/>
        <v>4.7791044776119405</v>
      </c>
      <c r="S81" s="128">
        <f t="shared" si="12"/>
        <v>0.79514209375759037</v>
      </c>
      <c r="T81" s="92">
        <f t="shared" si="13"/>
        <v>3320.3</v>
      </c>
      <c r="U81" s="85"/>
      <c r="W81" s="77"/>
    </row>
    <row r="82" spans="1:75" s="107" customFormat="1" ht="18.75" hidden="1">
      <c r="A82" s="120">
        <v>91</v>
      </c>
      <c r="B82" s="106">
        <v>243</v>
      </c>
      <c r="C82" s="97">
        <v>1411.7</v>
      </c>
      <c r="D82" s="99">
        <v>312.60000000000002</v>
      </c>
      <c r="E82" s="68">
        <v>465</v>
      </c>
      <c r="F82" s="66">
        <f>709.1+91.9</f>
        <v>801</v>
      </c>
      <c r="G82" s="66">
        <v>72</v>
      </c>
      <c r="H82" s="66"/>
      <c r="I82" s="66"/>
      <c r="J82" s="98">
        <v>208</v>
      </c>
      <c r="K82" s="44">
        <f>1196.2+92.5</f>
        <v>1288.7</v>
      </c>
      <c r="L82" s="123">
        <f t="shared" si="9"/>
        <v>4559</v>
      </c>
      <c r="M82" s="42">
        <v>52.1</v>
      </c>
      <c r="N82" s="138">
        <f t="shared" si="10"/>
        <v>1338</v>
      </c>
      <c r="O82" s="125">
        <v>177.4</v>
      </c>
      <c r="P82" s="109">
        <f t="shared" si="11"/>
        <v>1515.4</v>
      </c>
      <c r="Q82" s="39">
        <f t="shared" si="7"/>
        <v>18.760999999999999</v>
      </c>
      <c r="R82" s="39">
        <f t="shared" si="8"/>
        <v>6.2362139917695476</v>
      </c>
      <c r="S82" s="128">
        <f t="shared" si="12"/>
        <v>0.91139179013845029</v>
      </c>
      <c r="T82" s="92">
        <f t="shared" si="13"/>
        <v>4611.1000000000004</v>
      </c>
      <c r="U82" s="85"/>
      <c r="V82" s="80"/>
      <c r="W82" s="77"/>
      <c r="X82" s="80"/>
      <c r="Y82" s="80"/>
      <c r="Z82" s="87"/>
      <c r="AA82" s="87"/>
      <c r="AB82" s="87"/>
      <c r="AC82" s="87"/>
      <c r="AD82" s="87"/>
      <c r="AE82" s="87"/>
      <c r="AF82" s="87"/>
      <c r="AG82" s="87"/>
      <c r="AH82" s="87"/>
      <c r="AI82" s="87"/>
      <c r="AJ82" s="87"/>
      <c r="AK82" s="87"/>
      <c r="AL82" s="87"/>
      <c r="AM82" s="87"/>
      <c r="AN82" s="87"/>
      <c r="AO82" s="87"/>
      <c r="AP82" s="87"/>
      <c r="AQ82" s="87"/>
      <c r="AR82" s="87"/>
      <c r="AS82" s="87"/>
      <c r="AT82" s="87"/>
      <c r="AU82" s="87"/>
      <c r="AV82" s="87"/>
      <c r="AW82" s="87"/>
      <c r="AX82" s="87"/>
      <c r="AY82" s="87"/>
      <c r="AZ82" s="87"/>
      <c r="BA82" s="87"/>
      <c r="BB82" s="87"/>
      <c r="BC82" s="87"/>
      <c r="BD82" s="87"/>
      <c r="BE82" s="87"/>
      <c r="BF82" s="87"/>
      <c r="BG82" s="87"/>
      <c r="BH82" s="87"/>
      <c r="BI82" s="87"/>
      <c r="BJ82" s="87"/>
      <c r="BK82" s="87"/>
      <c r="BL82" s="87"/>
      <c r="BM82" s="87"/>
      <c r="BN82" s="87"/>
      <c r="BO82" s="87"/>
      <c r="BP82" s="87"/>
      <c r="BQ82" s="87"/>
      <c r="BR82" s="87"/>
      <c r="BS82" s="87"/>
      <c r="BT82" s="87"/>
      <c r="BU82" s="87"/>
      <c r="BV82" s="87"/>
      <c r="BW82" s="87"/>
    </row>
    <row r="83" spans="1:75" ht="18.75">
      <c r="A83" s="7" t="s">
        <v>122</v>
      </c>
      <c r="B83" s="89">
        <v>182</v>
      </c>
      <c r="C83" s="6">
        <v>873.9</v>
      </c>
      <c r="D83" s="110">
        <v>193.5</v>
      </c>
      <c r="E83" s="67">
        <v>350.4</v>
      </c>
      <c r="F83" s="64">
        <v>530</v>
      </c>
      <c r="G83" s="64">
        <v>138.6</v>
      </c>
      <c r="H83" s="64"/>
      <c r="I83" s="64"/>
      <c r="J83" s="109">
        <v>154</v>
      </c>
      <c r="K83" s="42">
        <f>761.7+59</f>
        <v>820.7</v>
      </c>
      <c r="L83" s="123">
        <f t="shared" si="9"/>
        <v>3061.1</v>
      </c>
      <c r="M83" s="42">
        <v>45.6</v>
      </c>
      <c r="N83" s="138">
        <f t="shared" si="10"/>
        <v>1019</v>
      </c>
      <c r="O83" s="125">
        <v>125</v>
      </c>
      <c r="P83" s="109">
        <f t="shared" si="11"/>
        <v>1144</v>
      </c>
      <c r="Q83" s="39">
        <f t="shared" si="7"/>
        <v>16.818999999999999</v>
      </c>
      <c r="R83" s="39">
        <f t="shared" si="8"/>
        <v>6.2857142857142856</v>
      </c>
      <c r="S83" s="128">
        <f t="shared" si="12"/>
        <v>0.8170512509108574</v>
      </c>
      <c r="T83" s="92">
        <f t="shared" si="13"/>
        <v>3106.7</v>
      </c>
      <c r="U83" s="85"/>
      <c r="W83" s="77"/>
    </row>
    <row r="84" spans="1:75" ht="18.75" hidden="1">
      <c r="A84" s="7" t="s">
        <v>123</v>
      </c>
      <c r="B84" s="89">
        <v>495</v>
      </c>
      <c r="C84" s="6">
        <v>1810.4</v>
      </c>
      <c r="D84" s="110">
        <v>400.8</v>
      </c>
      <c r="E84" s="67">
        <v>723.7</v>
      </c>
      <c r="F84" s="64">
        <v>1812.6</v>
      </c>
      <c r="G84" s="64">
        <v>235.6</v>
      </c>
      <c r="H84" s="64"/>
      <c r="I84" s="64"/>
      <c r="J84" s="109">
        <v>259.60000000000002</v>
      </c>
      <c r="K84" s="42">
        <f>2303.3+178.3</f>
        <v>2481.6000000000004</v>
      </c>
      <c r="L84" s="123">
        <f t="shared" si="9"/>
        <v>7724.3</v>
      </c>
      <c r="M84" s="42">
        <v>76.7</v>
      </c>
      <c r="N84" s="138">
        <f t="shared" si="10"/>
        <v>2771.9</v>
      </c>
      <c r="O84" s="125">
        <v>189.7</v>
      </c>
      <c r="P84" s="109">
        <f t="shared" si="11"/>
        <v>2961.6</v>
      </c>
      <c r="Q84" s="39">
        <f t="shared" si="7"/>
        <v>15.605</v>
      </c>
      <c r="R84" s="39">
        <f t="shared" si="8"/>
        <v>5.9830303030303025</v>
      </c>
      <c r="S84" s="128">
        <f t="shared" si="12"/>
        <v>0.75807626912800585</v>
      </c>
      <c r="T84" s="92">
        <f t="shared" si="13"/>
        <v>7801</v>
      </c>
      <c r="U84" s="85"/>
      <c r="W84" s="77"/>
    </row>
    <row r="85" spans="1:75" ht="18.75">
      <c r="A85" s="7" t="s">
        <v>124</v>
      </c>
      <c r="B85" s="89">
        <v>185</v>
      </c>
      <c r="C85" s="6">
        <v>905.2</v>
      </c>
      <c r="D85" s="110">
        <v>200.4</v>
      </c>
      <c r="E85" s="67">
        <v>615.6</v>
      </c>
      <c r="F85" s="64">
        <v>468.3</v>
      </c>
      <c r="G85" s="64">
        <v>70.900000000000006</v>
      </c>
      <c r="H85" s="64"/>
      <c r="I85" s="64"/>
      <c r="J85" s="109">
        <v>154</v>
      </c>
      <c r="K85" s="42">
        <f>790.7+61.3</f>
        <v>852</v>
      </c>
      <c r="L85" s="123">
        <f t="shared" si="9"/>
        <v>3266.4</v>
      </c>
      <c r="M85" s="42">
        <v>26.2</v>
      </c>
      <c r="N85" s="138">
        <f t="shared" si="10"/>
        <v>1154.8000000000002</v>
      </c>
      <c r="O85" s="125">
        <v>126</v>
      </c>
      <c r="P85" s="109">
        <f t="shared" si="11"/>
        <v>1280.8000000000002</v>
      </c>
      <c r="Q85" s="39">
        <f t="shared" si="7"/>
        <v>17.655999999999999</v>
      </c>
      <c r="R85" s="39">
        <f t="shared" si="8"/>
        <v>6.9232432432432445</v>
      </c>
      <c r="S85" s="128">
        <f t="shared" si="12"/>
        <v>0.85771192615982506</v>
      </c>
      <c r="T85" s="92">
        <f t="shared" si="13"/>
        <v>3292.6</v>
      </c>
      <c r="U85" s="85"/>
      <c r="W85" s="77"/>
    </row>
    <row r="86" spans="1:75" ht="18.75">
      <c r="A86" s="7" t="s">
        <v>125</v>
      </c>
      <c r="B86" s="89">
        <v>197</v>
      </c>
      <c r="C86" s="6">
        <v>952.1</v>
      </c>
      <c r="D86" s="110">
        <v>210.8</v>
      </c>
      <c r="E86" s="67">
        <v>523.9</v>
      </c>
      <c r="F86" s="64">
        <v>398.9</v>
      </c>
      <c r="G86" s="64">
        <v>70.900000000000006</v>
      </c>
      <c r="H86" s="64"/>
      <c r="I86" s="64"/>
      <c r="J86" s="109">
        <v>154</v>
      </c>
      <c r="K86" s="42">
        <f>1032.5+80</f>
        <v>1112.5</v>
      </c>
      <c r="L86" s="123">
        <f t="shared" si="9"/>
        <v>3423.1</v>
      </c>
      <c r="M86" s="42">
        <v>25.2</v>
      </c>
      <c r="N86" s="138">
        <f t="shared" si="10"/>
        <v>993.69999999999993</v>
      </c>
      <c r="O86" s="125">
        <v>117.8</v>
      </c>
      <c r="P86" s="109">
        <f t="shared" si="11"/>
        <v>1111.5</v>
      </c>
      <c r="Q86" s="39">
        <f t="shared" si="7"/>
        <v>17.376000000000001</v>
      </c>
      <c r="R86" s="39">
        <f t="shared" si="8"/>
        <v>5.6421319796954315</v>
      </c>
      <c r="S86" s="128">
        <f t="shared" si="12"/>
        <v>0.84410978868107844</v>
      </c>
      <c r="T86" s="92">
        <f t="shared" si="13"/>
        <v>3448.2999999999997</v>
      </c>
      <c r="U86" s="85"/>
      <c r="W86" s="77"/>
    </row>
    <row r="87" spans="1:75" ht="18.75" hidden="1">
      <c r="A87" s="7" t="s">
        <v>126</v>
      </c>
      <c r="B87" s="89">
        <v>417</v>
      </c>
      <c r="C87" s="6">
        <v>1724.4</v>
      </c>
      <c r="D87" s="110">
        <v>381.8</v>
      </c>
      <c r="E87" s="67">
        <v>607.5</v>
      </c>
      <c r="F87" s="64">
        <v>1419</v>
      </c>
      <c r="G87" s="64">
        <v>162.5</v>
      </c>
      <c r="H87" s="64"/>
      <c r="I87" s="64"/>
      <c r="J87" s="109">
        <v>239</v>
      </c>
      <c r="K87" s="42">
        <f>1961.5+151.9</f>
        <v>2113.4</v>
      </c>
      <c r="L87" s="123">
        <f t="shared" si="9"/>
        <v>6647.6</v>
      </c>
      <c r="M87" s="42">
        <v>27.6</v>
      </c>
      <c r="N87" s="138">
        <f t="shared" si="10"/>
        <v>2189</v>
      </c>
      <c r="O87" s="125">
        <v>203</v>
      </c>
      <c r="P87" s="109">
        <f t="shared" si="11"/>
        <v>2392</v>
      </c>
      <c r="Q87" s="39">
        <f t="shared" si="7"/>
        <v>15.941000000000001</v>
      </c>
      <c r="R87" s="39">
        <f t="shared" si="8"/>
        <v>5.7362110311750598</v>
      </c>
      <c r="S87" s="128">
        <f t="shared" si="12"/>
        <v>0.77439883410250188</v>
      </c>
      <c r="T87" s="92">
        <f t="shared" si="13"/>
        <v>6675.2000000000007</v>
      </c>
      <c r="U87" s="85"/>
      <c r="W87" s="77"/>
    </row>
    <row r="88" spans="1:75" ht="18.75" hidden="1">
      <c r="A88" s="7" t="s">
        <v>127</v>
      </c>
      <c r="B88" s="89">
        <v>286</v>
      </c>
      <c r="C88" s="6">
        <v>1599.3</v>
      </c>
      <c r="D88" s="110">
        <v>354.1</v>
      </c>
      <c r="E88" s="67">
        <v>632.29999999999995</v>
      </c>
      <c r="F88" s="64">
        <v>640.79999999999995</v>
      </c>
      <c r="G88" s="64">
        <v>98.1</v>
      </c>
      <c r="H88" s="64"/>
      <c r="I88" s="64"/>
      <c r="J88" s="109">
        <v>203</v>
      </c>
      <c r="K88" s="42">
        <f>1343.5+104</f>
        <v>1447.5</v>
      </c>
      <c r="L88" s="123">
        <f t="shared" si="9"/>
        <v>4975.1000000000004</v>
      </c>
      <c r="M88" s="42">
        <v>32.9</v>
      </c>
      <c r="N88" s="138">
        <f t="shared" si="10"/>
        <v>1371.1999999999998</v>
      </c>
      <c r="O88" s="125">
        <v>144.4</v>
      </c>
      <c r="P88" s="109">
        <f t="shared" si="11"/>
        <v>1515.6</v>
      </c>
      <c r="Q88" s="39">
        <f t="shared" si="7"/>
        <v>17.395</v>
      </c>
      <c r="R88" s="39">
        <f t="shared" si="8"/>
        <v>5.2993006993006988</v>
      </c>
      <c r="S88" s="128">
        <f t="shared" si="12"/>
        <v>0.84503279086713623</v>
      </c>
      <c r="T88" s="92">
        <f t="shared" si="13"/>
        <v>5008</v>
      </c>
      <c r="U88" s="85"/>
      <c r="W88" s="77"/>
    </row>
    <row r="89" spans="1:75" ht="18.75">
      <c r="A89" s="7" t="s">
        <v>128</v>
      </c>
      <c r="B89" s="89">
        <v>223</v>
      </c>
      <c r="C89" s="6">
        <v>991.2</v>
      </c>
      <c r="D89" s="110">
        <v>219.5</v>
      </c>
      <c r="E89" s="67">
        <v>419.1</v>
      </c>
      <c r="F89" s="64">
        <v>890.3</v>
      </c>
      <c r="G89" s="64">
        <v>71.2</v>
      </c>
      <c r="H89" s="64"/>
      <c r="I89" s="64"/>
      <c r="J89" s="109">
        <v>154</v>
      </c>
      <c r="K89" s="42">
        <f>1208.9+93.6</f>
        <v>1302.5</v>
      </c>
      <c r="L89" s="123">
        <f t="shared" si="9"/>
        <v>4047.8</v>
      </c>
      <c r="M89" s="42">
        <v>49</v>
      </c>
      <c r="N89" s="138">
        <f t="shared" si="10"/>
        <v>1380.6000000000001</v>
      </c>
      <c r="O89" s="125">
        <v>116.4</v>
      </c>
      <c r="P89" s="109">
        <f t="shared" si="11"/>
        <v>1497.0000000000002</v>
      </c>
      <c r="Q89" s="39">
        <f t="shared" si="7"/>
        <v>18.152000000000001</v>
      </c>
      <c r="R89" s="39">
        <f t="shared" si="8"/>
        <v>6.7130044843049337</v>
      </c>
      <c r="S89" s="128">
        <f t="shared" si="12"/>
        <v>0.8818071411221764</v>
      </c>
      <c r="T89" s="92">
        <f t="shared" si="13"/>
        <v>4096.8</v>
      </c>
      <c r="U89" s="85"/>
      <c r="W89" s="77"/>
    </row>
    <row r="90" spans="1:75" ht="18.75">
      <c r="A90" s="7" t="s">
        <v>129</v>
      </c>
      <c r="B90" s="89">
        <v>113</v>
      </c>
      <c r="C90" s="42">
        <v>741</v>
      </c>
      <c r="D90" s="42">
        <v>164.1</v>
      </c>
      <c r="E90" s="67">
        <v>393</v>
      </c>
      <c r="F90" s="64">
        <v>433.7</v>
      </c>
      <c r="G90" s="64">
        <v>74.599999999999994</v>
      </c>
      <c r="H90" s="64"/>
      <c r="I90" s="64"/>
      <c r="J90" s="109">
        <v>130</v>
      </c>
      <c r="K90" s="42">
        <f>485.4+37.6</f>
        <v>523</v>
      </c>
      <c r="L90" s="123">
        <f t="shared" si="9"/>
        <v>2459.4</v>
      </c>
      <c r="M90" s="42">
        <v>27</v>
      </c>
      <c r="N90" s="138">
        <f t="shared" si="10"/>
        <v>901.30000000000007</v>
      </c>
      <c r="O90" s="125">
        <v>95.2</v>
      </c>
      <c r="P90" s="109">
        <f t="shared" si="11"/>
        <v>996.50000000000011</v>
      </c>
      <c r="Q90" s="39">
        <f t="shared" si="7"/>
        <v>21.765000000000001</v>
      </c>
      <c r="R90" s="39">
        <f t="shared" si="8"/>
        <v>8.8185840707964616</v>
      </c>
      <c r="S90" s="157">
        <f t="shared" si="12"/>
        <v>1.0573232936604324</v>
      </c>
      <c r="T90" s="92">
        <f t="shared" si="13"/>
        <v>2486.4</v>
      </c>
      <c r="U90" s="85"/>
      <c r="W90" s="77"/>
    </row>
    <row r="91" spans="1:75" ht="18.75">
      <c r="A91" s="7" t="s">
        <v>130</v>
      </c>
      <c r="B91" s="89">
        <v>358</v>
      </c>
      <c r="C91" s="42">
        <v>1358.6</v>
      </c>
      <c r="D91" s="42">
        <v>300.8</v>
      </c>
      <c r="E91" s="67">
        <v>609</v>
      </c>
      <c r="F91" s="64">
        <f>1131.3+139.7</f>
        <v>1271</v>
      </c>
      <c r="G91" s="64">
        <v>182.4</v>
      </c>
      <c r="H91" s="64"/>
      <c r="I91" s="64"/>
      <c r="J91" s="109">
        <v>199</v>
      </c>
      <c r="K91" s="42">
        <f>1577.9+122.2</f>
        <v>1700.1000000000001</v>
      </c>
      <c r="L91" s="123">
        <f t="shared" si="9"/>
        <v>5620.9</v>
      </c>
      <c r="M91" s="42">
        <v>50</v>
      </c>
      <c r="N91" s="138">
        <f t="shared" si="10"/>
        <v>2062.4</v>
      </c>
      <c r="O91" s="125">
        <v>124.4</v>
      </c>
      <c r="P91" s="109">
        <f t="shared" si="11"/>
        <v>2186.8000000000002</v>
      </c>
      <c r="Q91" s="39">
        <f t="shared" si="7"/>
        <v>15.701000000000001</v>
      </c>
      <c r="R91" s="39">
        <f t="shared" si="8"/>
        <v>6.108379888268157</v>
      </c>
      <c r="S91" s="128">
        <f t="shared" si="12"/>
        <v>0.76273985912071895</v>
      </c>
      <c r="T91" s="92">
        <f t="shared" si="13"/>
        <v>5670.9</v>
      </c>
      <c r="U91" s="85"/>
      <c r="W91" s="77"/>
    </row>
    <row r="92" spans="1:75" ht="18.75" hidden="1">
      <c r="A92" s="7" t="s">
        <v>131</v>
      </c>
      <c r="B92" s="89">
        <v>488</v>
      </c>
      <c r="C92" s="42">
        <v>1600.9</v>
      </c>
      <c r="D92" s="42">
        <v>354.5</v>
      </c>
      <c r="E92" s="67">
        <v>886.9</v>
      </c>
      <c r="F92" s="64">
        <f>1854.2+253.6</f>
        <v>2107.8000000000002</v>
      </c>
      <c r="G92" s="64">
        <v>361.4</v>
      </c>
      <c r="H92" s="64"/>
      <c r="I92" s="64"/>
      <c r="J92" s="109">
        <v>240</v>
      </c>
      <c r="K92" s="42">
        <f>2176.1+168.5</f>
        <v>2344.6</v>
      </c>
      <c r="L92" s="123">
        <f t="shared" si="9"/>
        <v>7896.1</v>
      </c>
      <c r="M92" s="42">
        <v>78.7</v>
      </c>
      <c r="N92" s="138">
        <f t="shared" si="10"/>
        <v>3356.1000000000004</v>
      </c>
      <c r="O92" s="125">
        <v>151</v>
      </c>
      <c r="P92" s="109">
        <f t="shared" si="11"/>
        <v>3507.1000000000004</v>
      </c>
      <c r="Q92" s="155">
        <f t="shared" si="7"/>
        <v>16.181000000000001</v>
      </c>
      <c r="R92" s="39">
        <f t="shared" si="8"/>
        <v>7.1866803278688529</v>
      </c>
      <c r="S92" s="128">
        <f t="shared" si="12"/>
        <v>0.78605780908428469</v>
      </c>
      <c r="T92" s="154">
        <f t="shared" si="13"/>
        <v>7974.8</v>
      </c>
      <c r="U92" s="85"/>
      <c r="W92" s="77"/>
    </row>
    <row r="93" spans="1:75" s="107" customFormat="1" ht="18.75">
      <c r="A93" s="120">
        <v>16</v>
      </c>
      <c r="B93" s="106">
        <v>327</v>
      </c>
      <c r="C93" s="42">
        <v>1171</v>
      </c>
      <c r="D93" s="42">
        <v>259.3</v>
      </c>
      <c r="E93" s="68">
        <v>505.5</v>
      </c>
      <c r="F93" s="66">
        <f>1157.1+149.4</f>
        <v>1306.5</v>
      </c>
      <c r="G93" s="66">
        <v>119.7</v>
      </c>
      <c r="H93" s="66"/>
      <c r="I93" s="66"/>
      <c r="J93" s="98">
        <v>177</v>
      </c>
      <c r="K93" s="44">
        <f>1659.8+128.5</f>
        <v>1788.3</v>
      </c>
      <c r="L93" s="123">
        <f t="shared" si="9"/>
        <v>5327.3</v>
      </c>
      <c r="M93" s="42">
        <v>57.4</v>
      </c>
      <c r="N93" s="138">
        <f t="shared" si="10"/>
        <v>1931.7</v>
      </c>
      <c r="O93" s="125">
        <v>148.5</v>
      </c>
      <c r="P93" s="109">
        <f t="shared" si="11"/>
        <v>2080.1999999999998</v>
      </c>
      <c r="Q93" s="39">
        <f t="shared" si="7"/>
        <v>16.291</v>
      </c>
      <c r="R93" s="39">
        <f t="shared" si="8"/>
        <v>6.3614678899082566</v>
      </c>
      <c r="S93" s="128">
        <f t="shared" si="12"/>
        <v>0.79140150595093517</v>
      </c>
      <c r="T93" s="92">
        <f t="shared" si="13"/>
        <v>5384.7</v>
      </c>
      <c r="U93" s="85"/>
      <c r="V93" s="80"/>
      <c r="W93" s="77"/>
      <c r="X93" s="80"/>
      <c r="Y93" s="80"/>
      <c r="Z93" s="87"/>
      <c r="AA93" s="87"/>
      <c r="AB93" s="87"/>
      <c r="AC93" s="87"/>
      <c r="AD93" s="87"/>
      <c r="AE93" s="87"/>
      <c r="AF93" s="87"/>
      <c r="AG93" s="87"/>
      <c r="AH93" s="87"/>
      <c r="AI93" s="87"/>
      <c r="AJ93" s="87"/>
      <c r="AK93" s="87"/>
      <c r="AL93" s="87"/>
      <c r="AM93" s="87"/>
      <c r="AN93" s="87"/>
      <c r="AO93" s="87"/>
      <c r="AP93" s="87"/>
      <c r="AQ93" s="87"/>
      <c r="AR93" s="87"/>
      <c r="AS93" s="87"/>
      <c r="AT93" s="87"/>
      <c r="AU93" s="87"/>
      <c r="AV93" s="87"/>
      <c r="AW93" s="87"/>
      <c r="AX93" s="87"/>
      <c r="AY93" s="87"/>
      <c r="AZ93" s="87"/>
      <c r="BA93" s="87"/>
      <c r="BB93" s="87"/>
      <c r="BC93" s="87"/>
      <c r="BD93" s="87"/>
      <c r="BE93" s="87"/>
      <c r="BF93" s="87"/>
      <c r="BG93" s="87"/>
      <c r="BH93" s="87"/>
      <c r="BI93" s="87"/>
      <c r="BJ93" s="87"/>
      <c r="BK93" s="87"/>
      <c r="BL93" s="87"/>
      <c r="BM93" s="87"/>
      <c r="BN93" s="87"/>
      <c r="BO93" s="87"/>
      <c r="BP93" s="87"/>
      <c r="BQ93" s="87"/>
      <c r="BR93" s="87"/>
      <c r="BS93" s="87"/>
      <c r="BT93" s="87"/>
      <c r="BU93" s="87"/>
      <c r="BV93" s="87"/>
      <c r="BW93" s="87"/>
    </row>
    <row r="94" spans="1:75" ht="18.75">
      <c r="A94" s="7" t="s">
        <v>132</v>
      </c>
      <c r="B94" s="89">
        <v>365</v>
      </c>
      <c r="C94" s="42">
        <v>1311.7</v>
      </c>
      <c r="D94" s="42">
        <v>290.39999999999998</v>
      </c>
      <c r="E94" s="67">
        <v>492.8</v>
      </c>
      <c r="F94" s="64">
        <f>961.1+116.3</f>
        <v>1077.4000000000001</v>
      </c>
      <c r="G94" s="64">
        <v>231.9</v>
      </c>
      <c r="H94" s="64"/>
      <c r="I94" s="64"/>
      <c r="J94" s="109">
        <v>199</v>
      </c>
      <c r="K94" s="42">
        <f>1719.8+133.1</f>
        <v>1852.8999999999999</v>
      </c>
      <c r="L94" s="123">
        <f t="shared" si="9"/>
        <v>5456.1</v>
      </c>
      <c r="M94" s="42">
        <v>52.1</v>
      </c>
      <c r="N94" s="138">
        <f t="shared" si="10"/>
        <v>1802.1000000000001</v>
      </c>
      <c r="O94" s="125">
        <v>111.7</v>
      </c>
      <c r="P94" s="109">
        <f t="shared" si="11"/>
        <v>1913.8000000000002</v>
      </c>
      <c r="Q94" s="39">
        <f t="shared" si="7"/>
        <v>14.948</v>
      </c>
      <c r="R94" s="39">
        <f t="shared" si="8"/>
        <v>5.2432876712328769</v>
      </c>
      <c r="S94" s="128">
        <f t="shared" si="12"/>
        <v>0.72615982511537525</v>
      </c>
      <c r="T94" s="92">
        <f t="shared" si="13"/>
        <v>5508.2000000000007</v>
      </c>
      <c r="U94" s="85"/>
      <c r="W94" s="77"/>
    </row>
    <row r="95" spans="1:75" ht="18.75">
      <c r="A95" s="7" t="s">
        <v>133</v>
      </c>
      <c r="B95" s="89">
        <v>393</v>
      </c>
      <c r="C95" s="42">
        <v>1288.2</v>
      </c>
      <c r="D95" s="42">
        <v>285.2</v>
      </c>
      <c r="E95" s="67">
        <v>583.5</v>
      </c>
      <c r="F95" s="64">
        <f>1191+167.1</f>
        <v>1358.1</v>
      </c>
      <c r="G95" s="64">
        <v>184.3</v>
      </c>
      <c r="H95" s="64"/>
      <c r="I95" s="64"/>
      <c r="J95" s="109">
        <v>199</v>
      </c>
      <c r="K95" s="42">
        <f>1687.1+130.7</f>
        <v>1817.8</v>
      </c>
      <c r="L95" s="123">
        <f t="shared" si="9"/>
        <v>5716.1</v>
      </c>
      <c r="M95" s="42">
        <v>63.5</v>
      </c>
      <c r="N95" s="138">
        <f t="shared" si="10"/>
        <v>2125.9</v>
      </c>
      <c r="O95" s="125">
        <v>138.9</v>
      </c>
      <c r="P95" s="109">
        <f t="shared" si="11"/>
        <v>2264.8000000000002</v>
      </c>
      <c r="Q95" s="39">
        <f t="shared" si="7"/>
        <v>14.545</v>
      </c>
      <c r="R95" s="39">
        <f t="shared" si="8"/>
        <v>5.7628498727735371</v>
      </c>
      <c r="S95" s="128">
        <f t="shared" si="12"/>
        <v>0.70658246295846483</v>
      </c>
      <c r="T95" s="92">
        <f t="shared" si="13"/>
        <v>5779.6</v>
      </c>
      <c r="U95" s="85"/>
      <c r="W95" s="77"/>
    </row>
    <row r="96" spans="1:75" s="107" customFormat="1" ht="18.75" hidden="1">
      <c r="A96" s="120">
        <v>84</v>
      </c>
      <c r="B96" s="106">
        <v>100</v>
      </c>
      <c r="C96" s="42">
        <v>834.8</v>
      </c>
      <c r="D96" s="42">
        <v>184.8</v>
      </c>
      <c r="E96" s="68">
        <v>404.1</v>
      </c>
      <c r="F96" s="66">
        <v>312.2</v>
      </c>
      <c r="G96" s="66">
        <v>78.900000000000006</v>
      </c>
      <c r="H96" s="66"/>
      <c r="I96" s="66"/>
      <c r="J96" s="98">
        <v>154</v>
      </c>
      <c r="K96" s="44">
        <f>698.1+54</f>
        <v>752.1</v>
      </c>
      <c r="L96" s="123">
        <f t="shared" si="9"/>
        <v>2720.9</v>
      </c>
      <c r="M96" s="42">
        <v>31.6</v>
      </c>
      <c r="N96" s="138">
        <f t="shared" si="10"/>
        <v>795.19999999999993</v>
      </c>
      <c r="O96" s="125">
        <v>94.2</v>
      </c>
      <c r="P96" s="109">
        <f t="shared" si="11"/>
        <v>889.4</v>
      </c>
      <c r="Q96" s="39">
        <f t="shared" si="7"/>
        <v>27.209</v>
      </c>
      <c r="R96" s="39">
        <f t="shared" si="8"/>
        <v>8.8940000000000001</v>
      </c>
      <c r="S96" s="157">
        <f t="shared" si="12"/>
        <v>1.3217877094972066</v>
      </c>
      <c r="T96" s="92">
        <f t="shared" si="13"/>
        <v>2752.5</v>
      </c>
      <c r="U96" s="85"/>
      <c r="V96" s="80"/>
      <c r="W96" s="77"/>
      <c r="X96" s="80"/>
      <c r="Y96" s="80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7"/>
      <c r="BR96" s="87"/>
      <c r="BS96" s="87"/>
      <c r="BT96" s="87"/>
      <c r="BU96" s="87"/>
      <c r="BV96" s="87"/>
      <c r="BW96" s="87"/>
    </row>
    <row r="97" spans="1:75" s="107" customFormat="1" ht="18.75" hidden="1">
      <c r="A97" s="120">
        <v>94</v>
      </c>
      <c r="B97" s="106">
        <v>381</v>
      </c>
      <c r="C97" s="42">
        <v>1546.2</v>
      </c>
      <c r="D97" s="42">
        <v>342.3</v>
      </c>
      <c r="E97" s="68">
        <v>687.7</v>
      </c>
      <c r="F97" s="66">
        <f>1631.5+223.2</f>
        <v>1854.7</v>
      </c>
      <c r="G97" s="66">
        <v>315.10000000000002</v>
      </c>
      <c r="H97" s="66"/>
      <c r="I97" s="66"/>
      <c r="J97" s="98">
        <v>219</v>
      </c>
      <c r="K97" s="44">
        <f>1783.4+138.2</f>
        <v>1921.6000000000001</v>
      </c>
      <c r="L97" s="123">
        <f t="shared" si="9"/>
        <v>6886.6</v>
      </c>
      <c r="M97" s="42">
        <v>86.6</v>
      </c>
      <c r="N97" s="138">
        <f t="shared" si="10"/>
        <v>2857.5</v>
      </c>
      <c r="O97" s="125">
        <v>154</v>
      </c>
      <c r="P97" s="109">
        <f t="shared" si="11"/>
        <v>3011.5</v>
      </c>
      <c r="Q97" s="155">
        <f t="shared" si="7"/>
        <v>18.074999999999999</v>
      </c>
      <c r="R97" s="39">
        <f t="shared" si="8"/>
        <v>7.9041994750656164</v>
      </c>
      <c r="S97" s="128">
        <f t="shared" si="12"/>
        <v>0.87806655331552097</v>
      </c>
      <c r="T97" s="154">
        <f t="shared" si="13"/>
        <v>6973.2000000000007</v>
      </c>
      <c r="U97" s="85"/>
      <c r="V97" s="80"/>
      <c r="W97" s="77"/>
      <c r="X97" s="80"/>
      <c r="Y97" s="80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</row>
    <row r="98" spans="1:75" s="107" customFormat="1" ht="18.75" hidden="1">
      <c r="A98" s="120">
        <v>101</v>
      </c>
      <c r="B98" s="106">
        <v>230</v>
      </c>
      <c r="C98" s="62">
        <v>1700.9</v>
      </c>
      <c r="D98" s="42">
        <v>376.6</v>
      </c>
      <c r="E98" s="68">
        <v>705.8</v>
      </c>
      <c r="F98" s="66">
        <f>1750.8+98.9</f>
        <v>1849.7</v>
      </c>
      <c r="G98" s="66">
        <v>174.2</v>
      </c>
      <c r="H98" s="66"/>
      <c r="I98" s="66"/>
      <c r="J98" s="98">
        <v>209</v>
      </c>
      <c r="K98" s="44">
        <f>1850.6+143.3</f>
        <v>1993.8999999999999</v>
      </c>
      <c r="L98" s="123">
        <f t="shared" si="9"/>
        <v>7010.1</v>
      </c>
      <c r="M98" s="42">
        <v>34.299999999999997</v>
      </c>
      <c r="N98" s="138">
        <f t="shared" si="10"/>
        <v>2729.7</v>
      </c>
      <c r="O98" s="125">
        <v>165.5</v>
      </c>
      <c r="P98" s="109">
        <f t="shared" si="11"/>
        <v>2895.2</v>
      </c>
      <c r="Q98" s="39">
        <f t="shared" si="7"/>
        <v>30.478999999999999</v>
      </c>
      <c r="R98" s="39">
        <f t="shared" si="8"/>
        <v>12.587826086956522</v>
      </c>
      <c r="S98" s="157">
        <f t="shared" si="12"/>
        <v>1.480641243623998</v>
      </c>
      <c r="T98" s="92">
        <f t="shared" si="13"/>
        <v>7044.4000000000005</v>
      </c>
      <c r="U98" s="85"/>
      <c r="V98" s="80"/>
      <c r="W98" s="77"/>
      <c r="X98" s="80"/>
      <c r="Y98" s="80"/>
      <c r="Z98" s="87"/>
      <c r="AA98" s="87"/>
      <c r="AB98" s="87"/>
      <c r="AC98" s="87"/>
      <c r="AD98" s="87"/>
      <c r="AE98" s="87"/>
      <c r="AF98" s="87"/>
      <c r="AG98" s="87"/>
      <c r="AH98" s="87"/>
      <c r="AI98" s="87"/>
      <c r="AJ98" s="87"/>
      <c r="AK98" s="87"/>
      <c r="AL98" s="87"/>
      <c r="AM98" s="87"/>
      <c r="AN98" s="87"/>
      <c r="AO98" s="87"/>
      <c r="AP98" s="87"/>
      <c r="AQ98" s="87"/>
      <c r="AR98" s="87"/>
      <c r="AS98" s="87"/>
      <c r="AT98" s="87"/>
      <c r="AU98" s="87"/>
      <c r="AV98" s="87"/>
      <c r="AW98" s="87"/>
      <c r="AX98" s="87"/>
      <c r="AY98" s="87"/>
      <c r="AZ98" s="87"/>
      <c r="BA98" s="87"/>
      <c r="BB98" s="87"/>
      <c r="BC98" s="87"/>
      <c r="BD98" s="87"/>
      <c r="BE98" s="87"/>
      <c r="BF98" s="87"/>
      <c r="BG98" s="87"/>
      <c r="BH98" s="87"/>
      <c r="BI98" s="87"/>
      <c r="BJ98" s="87"/>
      <c r="BK98" s="87"/>
      <c r="BL98" s="87"/>
      <c r="BM98" s="87"/>
      <c r="BN98" s="87"/>
      <c r="BO98" s="87"/>
      <c r="BP98" s="87"/>
      <c r="BQ98" s="87"/>
      <c r="BR98" s="87"/>
      <c r="BS98" s="87"/>
      <c r="BT98" s="87"/>
      <c r="BU98" s="87"/>
      <c r="BV98" s="87"/>
      <c r="BW98" s="87"/>
    </row>
    <row r="99" spans="1:75" ht="18.75">
      <c r="A99" s="7" t="s">
        <v>134</v>
      </c>
      <c r="B99" s="89">
        <v>192</v>
      </c>
      <c r="C99" s="62">
        <v>952.1</v>
      </c>
      <c r="D99" s="42">
        <v>210.8</v>
      </c>
      <c r="E99" s="67">
        <v>442.6</v>
      </c>
      <c r="F99" s="64">
        <v>607.1</v>
      </c>
      <c r="G99" s="64">
        <v>95.4</v>
      </c>
      <c r="H99" s="64"/>
      <c r="I99" s="64"/>
      <c r="J99" s="109">
        <v>154</v>
      </c>
      <c r="K99" s="42">
        <f>1034.4+80.1</f>
        <v>1114.5</v>
      </c>
      <c r="L99" s="123">
        <f t="shared" si="9"/>
        <v>3576.5</v>
      </c>
      <c r="M99" s="42">
        <v>33.700000000000003</v>
      </c>
      <c r="N99" s="138">
        <f t="shared" si="10"/>
        <v>1145.1000000000001</v>
      </c>
      <c r="O99" s="125">
        <v>130.9</v>
      </c>
      <c r="P99" s="109">
        <f t="shared" si="11"/>
        <v>1276.0000000000002</v>
      </c>
      <c r="Q99" s="39">
        <f t="shared" si="7"/>
        <v>18.628</v>
      </c>
      <c r="R99" s="39">
        <f t="shared" si="8"/>
        <v>6.6458333333333348</v>
      </c>
      <c r="S99" s="128">
        <f t="shared" si="12"/>
        <v>0.90493077483604567</v>
      </c>
      <c r="T99" s="92">
        <f t="shared" si="13"/>
        <v>3610.2</v>
      </c>
      <c r="U99" s="85"/>
      <c r="W99" s="77"/>
    </row>
    <row r="100" spans="1:75" ht="18.75">
      <c r="A100" s="7" t="s">
        <v>135</v>
      </c>
      <c r="B100" s="89">
        <v>159</v>
      </c>
      <c r="C100" s="62">
        <v>866.1</v>
      </c>
      <c r="D100" s="42">
        <v>191.8</v>
      </c>
      <c r="E100" s="67">
        <v>425.7</v>
      </c>
      <c r="F100" s="64">
        <v>350.3</v>
      </c>
      <c r="G100" s="64">
        <v>71</v>
      </c>
      <c r="H100" s="64"/>
      <c r="I100" s="64"/>
      <c r="J100" s="109">
        <v>150</v>
      </c>
      <c r="K100" s="42">
        <f>838.1+64.9</f>
        <v>903</v>
      </c>
      <c r="L100" s="123">
        <f t="shared" si="9"/>
        <v>2957.9</v>
      </c>
      <c r="M100" s="42">
        <v>25.6</v>
      </c>
      <c r="N100" s="138">
        <f t="shared" si="10"/>
        <v>847</v>
      </c>
      <c r="O100" s="125">
        <v>108.8</v>
      </c>
      <c r="P100" s="109">
        <f t="shared" si="11"/>
        <v>955.8</v>
      </c>
      <c r="Q100" s="39">
        <f t="shared" si="7"/>
        <v>18.603000000000002</v>
      </c>
      <c r="R100" s="39">
        <f t="shared" si="8"/>
        <v>6.0113207547169809</v>
      </c>
      <c r="S100" s="128">
        <f t="shared" si="12"/>
        <v>0.90371629827544331</v>
      </c>
      <c r="T100" s="92">
        <f t="shared" si="13"/>
        <v>2983.5</v>
      </c>
      <c r="U100" s="85"/>
      <c r="W100" s="77"/>
    </row>
    <row r="101" spans="1:75" s="107" customFormat="1" ht="18.75" hidden="1">
      <c r="A101" s="120">
        <v>148</v>
      </c>
      <c r="B101" s="106">
        <v>198</v>
      </c>
      <c r="C101" s="62">
        <v>1489.9</v>
      </c>
      <c r="D101" s="42">
        <v>329.9</v>
      </c>
      <c r="E101" s="68">
        <v>627</v>
      </c>
      <c r="F101" s="66">
        <v>711.2</v>
      </c>
      <c r="G101" s="66">
        <v>112.2</v>
      </c>
      <c r="H101" s="66"/>
      <c r="I101" s="66"/>
      <c r="J101" s="98">
        <v>217</v>
      </c>
      <c r="K101" s="44">
        <f>1045.3+81</f>
        <v>1126.3</v>
      </c>
      <c r="L101" s="123">
        <f t="shared" si="9"/>
        <v>4613.5</v>
      </c>
      <c r="M101" s="42">
        <v>60</v>
      </c>
      <c r="N101" s="138">
        <f t="shared" si="10"/>
        <v>1450.4</v>
      </c>
      <c r="O101" s="125">
        <v>159</v>
      </c>
      <c r="P101" s="109">
        <f t="shared" si="11"/>
        <v>1609.4</v>
      </c>
      <c r="Q101" s="39">
        <f t="shared" si="7"/>
        <v>23.300999999999998</v>
      </c>
      <c r="R101" s="39">
        <f t="shared" si="8"/>
        <v>8.1282828282828294</v>
      </c>
      <c r="S101" s="157">
        <f t="shared" si="12"/>
        <v>1.1319407335438425</v>
      </c>
      <c r="T101" s="92">
        <f t="shared" si="13"/>
        <v>4673.5</v>
      </c>
      <c r="U101" s="85"/>
      <c r="V101" s="80"/>
      <c r="W101" s="77"/>
      <c r="X101" s="80"/>
      <c r="Y101" s="80"/>
      <c r="Z101" s="87"/>
      <c r="AA101" s="87"/>
      <c r="AB101" s="87"/>
      <c r="AC101" s="87"/>
      <c r="AD101" s="87"/>
      <c r="AE101" s="87"/>
      <c r="AF101" s="87"/>
      <c r="AG101" s="87"/>
      <c r="AH101" s="87"/>
      <c r="AI101" s="87"/>
      <c r="AJ101" s="87"/>
      <c r="AK101" s="87"/>
      <c r="AL101" s="87"/>
      <c r="AM101" s="87"/>
      <c r="AN101" s="87"/>
      <c r="AO101" s="87"/>
      <c r="AP101" s="87"/>
      <c r="AQ101" s="87"/>
      <c r="AR101" s="87"/>
      <c r="AS101" s="87"/>
      <c r="AT101" s="87"/>
      <c r="AU101" s="87"/>
      <c r="AV101" s="87"/>
      <c r="AW101" s="87"/>
      <c r="AX101" s="87"/>
      <c r="AY101" s="87"/>
      <c r="AZ101" s="87"/>
      <c r="BA101" s="87"/>
      <c r="BB101" s="87"/>
      <c r="BC101" s="87"/>
      <c r="BD101" s="87"/>
      <c r="BE101" s="87"/>
      <c r="BF101" s="87"/>
      <c r="BG101" s="87"/>
      <c r="BH101" s="87"/>
      <c r="BI101" s="87"/>
      <c r="BJ101" s="87"/>
      <c r="BK101" s="87"/>
      <c r="BL101" s="87"/>
      <c r="BM101" s="87"/>
      <c r="BN101" s="87"/>
      <c r="BO101" s="87"/>
      <c r="BP101" s="87"/>
      <c r="BQ101" s="87"/>
      <c r="BR101" s="87"/>
      <c r="BS101" s="87"/>
      <c r="BT101" s="87"/>
      <c r="BU101" s="87"/>
      <c r="BV101" s="87"/>
      <c r="BW101" s="87"/>
    </row>
    <row r="102" spans="1:75" ht="18.75">
      <c r="A102" s="7" t="s">
        <v>136</v>
      </c>
      <c r="B102" s="89">
        <v>325</v>
      </c>
      <c r="C102" s="62">
        <v>1256.9000000000001</v>
      </c>
      <c r="D102" s="42">
        <v>278.3</v>
      </c>
      <c r="E102" s="67">
        <v>406</v>
      </c>
      <c r="F102" s="64">
        <f>740.7+95.1</f>
        <v>835.80000000000007</v>
      </c>
      <c r="G102" s="64">
        <v>105.9</v>
      </c>
      <c r="H102" s="64"/>
      <c r="I102" s="64"/>
      <c r="J102" s="109">
        <v>177</v>
      </c>
      <c r="K102" s="42">
        <f>1327.1+102.8</f>
        <v>1429.8999999999999</v>
      </c>
      <c r="L102" s="123">
        <f t="shared" si="9"/>
        <v>4489.8</v>
      </c>
      <c r="M102" s="42">
        <v>57.3</v>
      </c>
      <c r="N102" s="138">
        <f t="shared" si="10"/>
        <v>1347.7000000000003</v>
      </c>
      <c r="O102" s="125">
        <v>96.2</v>
      </c>
      <c r="P102" s="109">
        <f t="shared" si="11"/>
        <v>1443.9000000000003</v>
      </c>
      <c r="Q102" s="39">
        <f t="shared" si="7"/>
        <v>13.815</v>
      </c>
      <c r="R102" s="39">
        <f t="shared" si="8"/>
        <v>4.4427692307692315</v>
      </c>
      <c r="S102" s="128">
        <f t="shared" si="12"/>
        <v>0.67111974738887537</v>
      </c>
      <c r="T102" s="92">
        <f t="shared" si="13"/>
        <v>4547.1000000000004</v>
      </c>
      <c r="U102" s="85"/>
      <c r="W102" s="77"/>
    </row>
    <row r="103" spans="1:75" ht="18.75">
      <c r="A103" s="7" t="s">
        <v>137</v>
      </c>
      <c r="B103" s="89">
        <v>353</v>
      </c>
      <c r="C103" s="62">
        <v>1335.1</v>
      </c>
      <c r="D103" s="42">
        <v>295.60000000000002</v>
      </c>
      <c r="E103" s="67">
        <v>545.70000000000005</v>
      </c>
      <c r="F103" s="64">
        <f>1145.2+145.7</f>
        <v>1290.9000000000001</v>
      </c>
      <c r="G103" s="64">
        <v>220</v>
      </c>
      <c r="H103" s="64"/>
      <c r="I103" s="64"/>
      <c r="J103" s="109">
        <v>199</v>
      </c>
      <c r="K103" s="42">
        <f>1543.3+119.5</f>
        <v>1662.8</v>
      </c>
      <c r="L103" s="123">
        <f t="shared" si="9"/>
        <v>5549.1</v>
      </c>
      <c r="M103" s="42">
        <v>201.9</v>
      </c>
      <c r="N103" s="138">
        <f t="shared" si="10"/>
        <v>2056.6000000000004</v>
      </c>
      <c r="O103" s="125">
        <v>120.5</v>
      </c>
      <c r="P103" s="109">
        <f t="shared" si="11"/>
        <v>2177.1000000000004</v>
      </c>
      <c r="Q103" s="39">
        <f t="shared" si="7"/>
        <v>15.72</v>
      </c>
      <c r="R103" s="39">
        <f t="shared" si="8"/>
        <v>6.1674220963172814</v>
      </c>
      <c r="S103" s="128">
        <f t="shared" si="12"/>
        <v>0.76366286130677674</v>
      </c>
      <c r="T103" s="92">
        <f t="shared" si="13"/>
        <v>5751</v>
      </c>
      <c r="U103" s="85"/>
      <c r="W103" s="77"/>
    </row>
    <row r="104" spans="1:75" ht="18.75">
      <c r="A104" s="7" t="s">
        <v>138</v>
      </c>
      <c r="B104" s="89">
        <v>146</v>
      </c>
      <c r="C104" s="62">
        <v>866.1</v>
      </c>
      <c r="D104" s="42">
        <v>191.8</v>
      </c>
      <c r="E104" s="67">
        <v>288.2</v>
      </c>
      <c r="F104" s="64">
        <v>747.8</v>
      </c>
      <c r="G104" s="64">
        <v>61.3</v>
      </c>
      <c r="H104" s="64"/>
      <c r="I104" s="64"/>
      <c r="J104" s="109">
        <v>150</v>
      </c>
      <c r="K104" s="42">
        <f>692.6+53.6</f>
        <v>746.2</v>
      </c>
      <c r="L104" s="123">
        <f t="shared" si="9"/>
        <v>3051.4</v>
      </c>
      <c r="M104" s="42">
        <v>28.8</v>
      </c>
      <c r="N104" s="138">
        <f t="shared" si="10"/>
        <v>1097.3</v>
      </c>
      <c r="O104" s="125">
        <v>126.8</v>
      </c>
      <c r="P104" s="109">
        <f t="shared" si="11"/>
        <v>1224.0999999999999</v>
      </c>
      <c r="Q104" s="39">
        <f t="shared" si="7"/>
        <v>20.9</v>
      </c>
      <c r="R104" s="39">
        <f t="shared" si="8"/>
        <v>8.3842465753424644</v>
      </c>
      <c r="S104" s="157">
        <f t="shared" si="12"/>
        <v>1.0153024046635899</v>
      </c>
      <c r="T104" s="92">
        <f t="shared" si="13"/>
        <v>3080.2000000000003</v>
      </c>
      <c r="U104" s="85"/>
      <c r="W104" s="77"/>
    </row>
    <row r="105" spans="1:75" ht="18.75">
      <c r="A105" s="7" t="s">
        <v>139</v>
      </c>
      <c r="B105" s="89">
        <v>399</v>
      </c>
      <c r="C105" s="62">
        <v>1358.6</v>
      </c>
      <c r="D105" s="42">
        <v>300.8</v>
      </c>
      <c r="E105" s="67">
        <v>589.4</v>
      </c>
      <c r="F105" s="64">
        <f>1299.6+169</f>
        <v>1468.6</v>
      </c>
      <c r="G105" s="64">
        <v>183.9</v>
      </c>
      <c r="H105" s="64"/>
      <c r="I105" s="64"/>
      <c r="J105" s="109">
        <v>199</v>
      </c>
      <c r="K105" s="42">
        <f>1621.6+125.6</f>
        <v>1747.1999999999998</v>
      </c>
      <c r="L105" s="123">
        <f t="shared" si="9"/>
        <v>5847.5</v>
      </c>
      <c r="M105" s="42">
        <v>44.9</v>
      </c>
      <c r="N105" s="138">
        <f t="shared" si="10"/>
        <v>2241.9</v>
      </c>
      <c r="O105" s="125">
        <v>118.3</v>
      </c>
      <c r="P105" s="109">
        <f t="shared" si="11"/>
        <v>2360.2000000000003</v>
      </c>
      <c r="Q105" s="39">
        <f t="shared" si="7"/>
        <v>14.654999999999999</v>
      </c>
      <c r="R105" s="39">
        <f t="shared" si="8"/>
        <v>5.9152882205513793</v>
      </c>
      <c r="S105" s="128">
        <f t="shared" si="12"/>
        <v>0.71192615982511531</v>
      </c>
      <c r="T105" s="92">
        <f t="shared" si="13"/>
        <v>5892.4</v>
      </c>
      <c r="U105" s="85"/>
      <c r="W105" s="77"/>
    </row>
    <row r="106" spans="1:75" ht="18.75">
      <c r="A106" s="7" t="s">
        <v>140</v>
      </c>
      <c r="B106" s="89">
        <v>224</v>
      </c>
      <c r="C106" s="62">
        <v>1077.2</v>
      </c>
      <c r="D106" s="42">
        <v>238.5</v>
      </c>
      <c r="E106" s="67">
        <v>334</v>
      </c>
      <c r="F106" s="64">
        <v>877.1</v>
      </c>
      <c r="G106" s="64">
        <v>76.400000000000006</v>
      </c>
      <c r="H106" s="64"/>
      <c r="I106" s="64"/>
      <c r="J106" s="109">
        <v>154</v>
      </c>
      <c r="K106" s="42">
        <f>1047.1+81.1</f>
        <v>1128.1999999999998</v>
      </c>
      <c r="L106" s="123">
        <f t="shared" si="9"/>
        <v>3885.4</v>
      </c>
      <c r="M106" s="42">
        <v>33</v>
      </c>
      <c r="N106" s="138">
        <f t="shared" si="10"/>
        <v>1287.5</v>
      </c>
      <c r="O106" s="125">
        <v>111.6</v>
      </c>
      <c r="P106" s="109">
        <f t="shared" si="11"/>
        <v>1399.1</v>
      </c>
      <c r="Q106" s="39">
        <f t="shared" si="7"/>
        <v>17.346</v>
      </c>
      <c r="R106" s="39">
        <f t="shared" si="8"/>
        <v>6.2459821428571427</v>
      </c>
      <c r="S106" s="128">
        <f t="shared" si="12"/>
        <v>0.84265241680835556</v>
      </c>
      <c r="T106" s="92">
        <f t="shared" si="13"/>
        <v>3918.4</v>
      </c>
      <c r="U106" s="85"/>
      <c r="W106" s="77"/>
    </row>
    <row r="107" spans="1:75" ht="18.75">
      <c r="A107" s="7" t="s">
        <v>141</v>
      </c>
      <c r="B107" s="89">
        <v>374</v>
      </c>
      <c r="C107" s="62">
        <v>1358.6</v>
      </c>
      <c r="D107" s="42">
        <v>300.8</v>
      </c>
      <c r="E107" s="67">
        <v>517.29999999999995</v>
      </c>
      <c r="F107" s="64">
        <f>1218.3+159.3</f>
        <v>1377.6</v>
      </c>
      <c r="G107" s="64">
        <v>160.9</v>
      </c>
      <c r="H107" s="64"/>
      <c r="I107" s="64"/>
      <c r="J107" s="109">
        <v>199</v>
      </c>
      <c r="K107" s="42">
        <f>1592.4+123.4</f>
        <v>1715.8000000000002</v>
      </c>
      <c r="L107" s="123">
        <f t="shared" si="9"/>
        <v>5630</v>
      </c>
      <c r="M107" s="42">
        <v>53</v>
      </c>
      <c r="N107" s="138">
        <f t="shared" si="10"/>
        <v>2055.7999999999997</v>
      </c>
      <c r="O107" s="125">
        <v>134.9</v>
      </c>
      <c r="P107" s="109">
        <f t="shared" si="11"/>
        <v>2190.6999999999998</v>
      </c>
      <c r="Q107" s="39">
        <f t="shared" si="7"/>
        <v>15.053000000000001</v>
      </c>
      <c r="R107" s="39">
        <f t="shared" si="8"/>
        <v>5.8574866310160427</v>
      </c>
      <c r="S107" s="128">
        <f t="shared" si="12"/>
        <v>0.73126062666990532</v>
      </c>
      <c r="T107" s="92">
        <f t="shared" si="13"/>
        <v>5683</v>
      </c>
      <c r="U107" s="85"/>
      <c r="W107" s="77"/>
    </row>
    <row r="108" spans="1:75" ht="18.75">
      <c r="A108" s="7" t="s">
        <v>142</v>
      </c>
      <c r="B108" s="89">
        <v>177</v>
      </c>
      <c r="C108" s="62">
        <v>879.6</v>
      </c>
      <c r="D108" s="42">
        <v>194.8</v>
      </c>
      <c r="E108" s="67">
        <v>479</v>
      </c>
      <c r="F108" s="64">
        <v>696</v>
      </c>
      <c r="G108" s="64">
        <v>94.9</v>
      </c>
      <c r="H108" s="64"/>
      <c r="I108" s="64"/>
      <c r="J108" s="109">
        <v>150</v>
      </c>
      <c r="K108" s="42">
        <f>865.3+67</f>
        <v>932.3</v>
      </c>
      <c r="L108" s="123">
        <f t="shared" si="9"/>
        <v>3426.6</v>
      </c>
      <c r="M108" s="42">
        <v>75</v>
      </c>
      <c r="N108" s="138">
        <f t="shared" si="10"/>
        <v>1269.9000000000001</v>
      </c>
      <c r="O108" s="125">
        <v>94.3</v>
      </c>
      <c r="P108" s="109">
        <f t="shared" si="11"/>
        <v>1364.2</v>
      </c>
      <c r="Q108" s="39">
        <f t="shared" si="7"/>
        <v>19.359000000000002</v>
      </c>
      <c r="R108" s="39">
        <f t="shared" si="8"/>
        <v>7.7073446327683621</v>
      </c>
      <c r="S108" s="128">
        <f t="shared" si="12"/>
        <v>0.94044206946805931</v>
      </c>
      <c r="T108" s="92">
        <f t="shared" si="13"/>
        <v>3501.6</v>
      </c>
      <c r="U108" s="85"/>
      <c r="W108" s="77"/>
    </row>
    <row r="109" spans="1:75" ht="18.75" hidden="1">
      <c r="A109" s="7" t="s">
        <v>143</v>
      </c>
      <c r="B109" s="89">
        <v>390</v>
      </c>
      <c r="C109" s="62">
        <v>1499.3</v>
      </c>
      <c r="D109" s="42">
        <v>332</v>
      </c>
      <c r="E109" s="67">
        <v>780.3</v>
      </c>
      <c r="F109" s="64">
        <v>1536.8</v>
      </c>
      <c r="G109" s="64">
        <v>185.9</v>
      </c>
      <c r="H109" s="64"/>
      <c r="I109" s="64"/>
      <c r="J109" s="109">
        <v>219</v>
      </c>
      <c r="K109" s="42">
        <f>1856.1+143.7</f>
        <v>1999.8</v>
      </c>
      <c r="L109" s="123">
        <f t="shared" si="9"/>
        <v>6553.1</v>
      </c>
      <c r="M109" s="42">
        <v>49.3</v>
      </c>
      <c r="N109" s="138">
        <f t="shared" si="10"/>
        <v>2503</v>
      </c>
      <c r="O109" s="125">
        <v>134.69999999999999</v>
      </c>
      <c r="P109" s="109">
        <f t="shared" si="11"/>
        <v>2637.7</v>
      </c>
      <c r="Q109" s="155">
        <f t="shared" si="7"/>
        <v>16.803000000000001</v>
      </c>
      <c r="R109" s="39">
        <f t="shared" si="8"/>
        <v>6.7633333333333328</v>
      </c>
      <c r="S109" s="128">
        <f t="shared" si="12"/>
        <v>0.8162739859120719</v>
      </c>
      <c r="T109" s="154">
        <f t="shared" si="13"/>
        <v>6602.4000000000005</v>
      </c>
      <c r="U109" s="85"/>
      <c r="W109" s="77"/>
    </row>
    <row r="110" spans="1:75" ht="18.75" hidden="1">
      <c r="A110" s="7" t="s">
        <v>144</v>
      </c>
      <c r="B110" s="89">
        <v>312</v>
      </c>
      <c r="C110" s="42">
        <v>1669.7</v>
      </c>
      <c r="D110" s="42">
        <v>369.7</v>
      </c>
      <c r="E110" s="67">
        <v>1105.9000000000001</v>
      </c>
      <c r="F110" s="64">
        <v>815.3</v>
      </c>
      <c r="G110" s="64">
        <v>143.6</v>
      </c>
      <c r="H110" s="64"/>
      <c r="I110" s="64"/>
      <c r="J110" s="109">
        <v>217</v>
      </c>
      <c r="K110" s="42">
        <f>1450.7+112.4</f>
        <v>1563.1000000000001</v>
      </c>
      <c r="L110" s="123">
        <f t="shared" si="9"/>
        <v>5884.3</v>
      </c>
      <c r="M110" s="42">
        <v>70.7</v>
      </c>
      <c r="N110" s="138">
        <f t="shared" si="10"/>
        <v>2064.8000000000002</v>
      </c>
      <c r="O110" s="125">
        <v>163.6</v>
      </c>
      <c r="P110" s="109">
        <f t="shared" si="11"/>
        <v>2228.4</v>
      </c>
      <c r="Q110" s="39">
        <f t="shared" si="7"/>
        <v>18.86</v>
      </c>
      <c r="R110" s="39">
        <f t="shared" si="8"/>
        <v>7.1423076923076927</v>
      </c>
      <c r="S110" s="128">
        <f t="shared" si="12"/>
        <v>0.91620111731843568</v>
      </c>
      <c r="T110" s="92">
        <f t="shared" si="13"/>
        <v>5955</v>
      </c>
      <c r="U110" s="85"/>
      <c r="W110" s="77"/>
    </row>
    <row r="111" spans="1:75" s="107" customFormat="1" ht="18.75">
      <c r="A111" s="120">
        <v>194</v>
      </c>
      <c r="B111" s="106">
        <v>136</v>
      </c>
      <c r="C111" s="42">
        <v>803.6</v>
      </c>
      <c r="D111" s="42">
        <v>177.9</v>
      </c>
      <c r="E111" s="68">
        <v>465</v>
      </c>
      <c r="F111" s="66">
        <v>468.3</v>
      </c>
      <c r="G111" s="66">
        <v>84.3</v>
      </c>
      <c r="H111" s="66"/>
      <c r="I111" s="66"/>
      <c r="J111" s="98">
        <v>150</v>
      </c>
      <c r="K111" s="44">
        <f>1103.5+85.5</f>
        <v>1189</v>
      </c>
      <c r="L111" s="123">
        <f t="shared" si="9"/>
        <v>3338.1</v>
      </c>
      <c r="M111" s="42">
        <v>22.9</v>
      </c>
      <c r="N111" s="138">
        <f t="shared" si="10"/>
        <v>1017.5999999999999</v>
      </c>
      <c r="O111" s="125">
        <v>119.3</v>
      </c>
      <c r="P111" s="109">
        <f t="shared" si="11"/>
        <v>1136.8999999999999</v>
      </c>
      <c r="Q111" s="39">
        <f t="shared" si="7"/>
        <v>24.545000000000002</v>
      </c>
      <c r="R111" s="39">
        <f t="shared" si="8"/>
        <v>8.3595588235294116</v>
      </c>
      <c r="S111" s="157">
        <f t="shared" si="12"/>
        <v>1.1923730871994171</v>
      </c>
      <c r="T111" s="92">
        <f t="shared" si="13"/>
        <v>3361</v>
      </c>
      <c r="U111" s="85"/>
      <c r="V111" s="80"/>
      <c r="W111" s="77"/>
      <c r="X111" s="80"/>
      <c r="Y111" s="80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  <c r="BV111" s="87"/>
      <c r="BW111" s="87"/>
    </row>
    <row r="112" spans="1:75" ht="18.75" hidden="1">
      <c r="A112" s="7" t="s">
        <v>145</v>
      </c>
      <c r="B112" s="89">
        <v>380</v>
      </c>
      <c r="C112" s="42">
        <v>1546.2</v>
      </c>
      <c r="D112" s="42">
        <v>342.3</v>
      </c>
      <c r="E112" s="67">
        <v>635.29999999999995</v>
      </c>
      <c r="F112" s="64">
        <f>1242.9+169</f>
        <v>1411.9</v>
      </c>
      <c r="G112" s="64">
        <v>226.6</v>
      </c>
      <c r="H112" s="64"/>
      <c r="I112" s="64"/>
      <c r="J112" s="109">
        <v>219</v>
      </c>
      <c r="K112" s="42">
        <f>1723.3+133.5</f>
        <v>1856.8</v>
      </c>
      <c r="L112" s="123">
        <f t="shared" si="9"/>
        <v>6238.1</v>
      </c>
      <c r="M112" s="42">
        <v>49.2</v>
      </c>
      <c r="N112" s="138">
        <f t="shared" si="10"/>
        <v>2273.8000000000002</v>
      </c>
      <c r="O112" s="125">
        <v>132.6</v>
      </c>
      <c r="P112" s="109">
        <f t="shared" si="11"/>
        <v>2406.4</v>
      </c>
      <c r="Q112" s="155">
        <f t="shared" si="7"/>
        <v>16.416</v>
      </c>
      <c r="R112" s="39">
        <f t="shared" si="8"/>
        <v>6.3326315789473684</v>
      </c>
      <c r="S112" s="128">
        <f t="shared" si="12"/>
        <v>0.79747388875394698</v>
      </c>
      <c r="T112" s="154">
        <f t="shared" si="13"/>
        <v>6287.3</v>
      </c>
      <c r="U112" s="85"/>
      <c r="W112" s="77"/>
    </row>
    <row r="113" spans="1:75" s="107" customFormat="1" ht="18.75" hidden="1">
      <c r="A113" s="120">
        <v>209</v>
      </c>
      <c r="B113" s="106">
        <v>317</v>
      </c>
      <c r="C113" s="42">
        <v>1546.2</v>
      </c>
      <c r="D113" s="42">
        <v>342.3</v>
      </c>
      <c r="E113" s="68">
        <v>813.1</v>
      </c>
      <c r="F113" s="66">
        <f>1642.5+175.8</f>
        <v>1818.3</v>
      </c>
      <c r="G113" s="66">
        <v>227.7</v>
      </c>
      <c r="H113" s="66"/>
      <c r="I113" s="66"/>
      <c r="J113" s="98">
        <v>219</v>
      </c>
      <c r="K113" s="44">
        <f>1794.3+139</f>
        <v>1933.3</v>
      </c>
      <c r="L113" s="123">
        <f t="shared" si="9"/>
        <v>6899.9</v>
      </c>
      <c r="M113" s="42">
        <v>57.5</v>
      </c>
      <c r="N113" s="138">
        <f t="shared" si="10"/>
        <v>2859.1</v>
      </c>
      <c r="O113" s="125">
        <v>163.1</v>
      </c>
      <c r="P113" s="109">
        <f t="shared" si="11"/>
        <v>3022.2</v>
      </c>
      <c r="Q113" s="155">
        <f t="shared" si="7"/>
        <v>21.765999999999998</v>
      </c>
      <c r="R113" s="39">
        <f t="shared" si="8"/>
        <v>9.5337539432176648</v>
      </c>
      <c r="S113" s="157">
        <f t="shared" si="12"/>
        <v>1.0573718727228563</v>
      </c>
      <c r="T113" s="154">
        <f t="shared" si="13"/>
        <v>6957.4</v>
      </c>
      <c r="U113" s="85"/>
      <c r="V113" s="80"/>
      <c r="W113" s="77"/>
      <c r="X113" s="80"/>
      <c r="Y113" s="80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7"/>
      <c r="BQ113" s="87"/>
      <c r="BR113" s="87"/>
      <c r="BS113" s="87"/>
      <c r="BT113" s="87"/>
      <c r="BU113" s="87"/>
      <c r="BV113" s="87"/>
      <c r="BW113" s="87"/>
    </row>
    <row r="114" spans="1:75" s="107" customFormat="1" ht="18.75" hidden="1">
      <c r="A114" s="120">
        <v>210</v>
      </c>
      <c r="B114" s="106">
        <v>159</v>
      </c>
      <c r="C114" s="42">
        <v>1053.7</v>
      </c>
      <c r="D114" s="42">
        <v>233.3</v>
      </c>
      <c r="E114" s="68">
        <v>537.1</v>
      </c>
      <c r="F114" s="66">
        <f>1175.7</f>
        <v>1175.7</v>
      </c>
      <c r="G114" s="66">
        <v>92.8</v>
      </c>
      <c r="H114" s="66"/>
      <c r="I114" s="66"/>
      <c r="J114" s="98">
        <v>174</v>
      </c>
      <c r="K114" s="44">
        <f>869.1+67.3</f>
        <v>936.4</v>
      </c>
      <c r="L114" s="123">
        <f t="shared" si="9"/>
        <v>4203</v>
      </c>
      <c r="M114" s="42">
        <v>53.7</v>
      </c>
      <c r="N114" s="138">
        <f t="shared" si="10"/>
        <v>1805.6000000000001</v>
      </c>
      <c r="O114" s="125">
        <v>110</v>
      </c>
      <c r="P114" s="109">
        <f t="shared" si="11"/>
        <v>1915.6000000000001</v>
      </c>
      <c r="Q114" s="155">
        <f t="shared" si="7"/>
        <v>26.434000000000001</v>
      </c>
      <c r="R114" s="39">
        <f t="shared" si="8"/>
        <v>12.047798742138365</v>
      </c>
      <c r="S114" s="157">
        <f t="shared" si="12"/>
        <v>1.2841389361185329</v>
      </c>
      <c r="T114" s="154">
        <f t="shared" si="13"/>
        <v>4256.7</v>
      </c>
      <c r="U114" s="85"/>
      <c r="V114" s="80"/>
      <c r="W114" s="77"/>
      <c r="X114" s="80"/>
      <c r="Y114" s="80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  <c r="BV114" s="87"/>
      <c r="BW114" s="87"/>
    </row>
    <row r="115" spans="1:75" ht="18.75">
      <c r="A115" s="7" t="s">
        <v>146</v>
      </c>
      <c r="B115" s="89">
        <v>199</v>
      </c>
      <c r="C115" s="42">
        <v>959.9</v>
      </c>
      <c r="D115" s="42">
        <v>212.5</v>
      </c>
      <c r="E115" s="67">
        <v>425.7</v>
      </c>
      <c r="F115" s="64">
        <v>827.5</v>
      </c>
      <c r="G115" s="64">
        <v>89.2</v>
      </c>
      <c r="H115" s="64"/>
      <c r="I115" s="64"/>
      <c r="J115" s="109">
        <v>154</v>
      </c>
      <c r="K115" s="42">
        <f>1001.6+77.6</f>
        <v>1079.2</v>
      </c>
      <c r="L115" s="123">
        <f t="shared" si="9"/>
        <v>3748</v>
      </c>
      <c r="M115" s="42">
        <v>30.1</v>
      </c>
      <c r="N115" s="138">
        <f t="shared" si="10"/>
        <v>1342.4</v>
      </c>
      <c r="O115" s="125">
        <v>123.9</v>
      </c>
      <c r="P115" s="109">
        <f t="shared" si="11"/>
        <v>1466.3000000000002</v>
      </c>
      <c r="Q115" s="39">
        <f t="shared" si="7"/>
        <v>18.834</v>
      </c>
      <c r="R115" s="39">
        <f t="shared" si="8"/>
        <v>7.3683417085427143</v>
      </c>
      <c r="S115" s="128">
        <f t="shared" si="12"/>
        <v>0.91493806169540925</v>
      </c>
      <c r="T115" s="92">
        <f t="shared" si="13"/>
        <v>3778.1</v>
      </c>
      <c r="U115" s="85"/>
      <c r="W115" s="77"/>
    </row>
    <row r="116" spans="1:75" ht="18.75" hidden="1">
      <c r="A116" s="7" t="s">
        <v>147</v>
      </c>
      <c r="B116" s="89">
        <v>367</v>
      </c>
      <c r="C116" s="42">
        <v>1475.8</v>
      </c>
      <c r="D116" s="42">
        <v>326.8</v>
      </c>
      <c r="E116" s="67">
        <v>615.6</v>
      </c>
      <c r="F116" s="64">
        <f>1601.4+194.8</f>
        <v>1796.2</v>
      </c>
      <c r="G116" s="64">
        <v>303.89999999999998</v>
      </c>
      <c r="H116" s="64"/>
      <c r="I116" s="64"/>
      <c r="J116" s="109">
        <v>207</v>
      </c>
      <c r="K116" s="42">
        <f>1458+112.9</f>
        <v>1570.9</v>
      </c>
      <c r="L116" s="123">
        <f t="shared" si="9"/>
        <v>6296.2</v>
      </c>
      <c r="M116" s="42">
        <v>118</v>
      </c>
      <c r="N116" s="138">
        <f t="shared" si="10"/>
        <v>2715.7000000000003</v>
      </c>
      <c r="O116" s="125">
        <v>171.3</v>
      </c>
      <c r="P116" s="109">
        <f t="shared" si="11"/>
        <v>2887.0000000000005</v>
      </c>
      <c r="Q116" s="155">
        <f t="shared" si="7"/>
        <v>17.155999999999999</v>
      </c>
      <c r="R116" s="39">
        <f t="shared" si="8"/>
        <v>7.8664850136239792</v>
      </c>
      <c r="S116" s="128">
        <f t="shared" si="12"/>
        <v>0.83342239494777737</v>
      </c>
      <c r="T116" s="154">
        <f t="shared" si="13"/>
        <v>6414.2</v>
      </c>
      <c r="U116" s="85"/>
      <c r="W116" s="77"/>
    </row>
    <row r="117" spans="1:75" ht="18.75" hidden="1">
      <c r="A117" s="7" t="s">
        <v>148</v>
      </c>
      <c r="B117" s="89">
        <v>446</v>
      </c>
      <c r="C117" s="42">
        <v>1522.7</v>
      </c>
      <c r="D117" s="42">
        <v>337.1</v>
      </c>
      <c r="E117" s="67">
        <v>895.9</v>
      </c>
      <c r="F117" s="64">
        <f>1579.3+204.5</f>
        <v>1783.8</v>
      </c>
      <c r="G117" s="64">
        <v>397.5</v>
      </c>
      <c r="H117" s="64"/>
      <c r="I117" s="64"/>
      <c r="J117" s="109">
        <v>219</v>
      </c>
      <c r="K117" s="42">
        <f>2165.1+167.7</f>
        <v>2332.7999999999997</v>
      </c>
      <c r="L117" s="123">
        <f t="shared" si="9"/>
        <v>7488.8</v>
      </c>
      <c r="M117" s="42">
        <v>47.4</v>
      </c>
      <c r="N117" s="138">
        <f t="shared" si="10"/>
        <v>3077.2</v>
      </c>
      <c r="O117" s="125">
        <v>169.1</v>
      </c>
      <c r="P117" s="109">
        <f t="shared" si="11"/>
        <v>3246.2999999999997</v>
      </c>
      <c r="Q117" s="155">
        <f t="shared" si="7"/>
        <v>16.791</v>
      </c>
      <c r="R117" s="39">
        <f t="shared" si="8"/>
        <v>7.2786995515695061</v>
      </c>
      <c r="S117" s="128">
        <f t="shared" si="12"/>
        <v>0.81569103716298275</v>
      </c>
      <c r="T117" s="154">
        <f t="shared" si="13"/>
        <v>7536.2</v>
      </c>
      <c r="U117" s="85"/>
      <c r="W117" s="77"/>
    </row>
    <row r="118" spans="1:75" ht="18.75" hidden="1">
      <c r="A118" s="7" t="s">
        <v>149</v>
      </c>
      <c r="B118" s="89">
        <v>400</v>
      </c>
      <c r="C118" s="42">
        <v>1569.6</v>
      </c>
      <c r="D118" s="42">
        <v>347.5</v>
      </c>
      <c r="E118" s="67">
        <v>609</v>
      </c>
      <c r="F118" s="64">
        <f>1216.9+143.1</f>
        <v>1360</v>
      </c>
      <c r="G118" s="64">
        <v>355</v>
      </c>
      <c r="H118" s="64"/>
      <c r="I118" s="64"/>
      <c r="J118" s="109">
        <v>219</v>
      </c>
      <c r="K118" s="42">
        <f>1854.3+143.6</f>
        <v>1997.8999999999999</v>
      </c>
      <c r="L118" s="123">
        <f t="shared" si="9"/>
        <v>6458</v>
      </c>
      <c r="M118" s="42">
        <v>55.2</v>
      </c>
      <c r="N118" s="138">
        <f t="shared" si="10"/>
        <v>2324</v>
      </c>
      <c r="O118" s="125">
        <v>139.19999999999999</v>
      </c>
      <c r="P118" s="109">
        <f t="shared" si="11"/>
        <v>2463.1999999999998</v>
      </c>
      <c r="Q118" s="155">
        <f t="shared" si="7"/>
        <v>16.145</v>
      </c>
      <c r="R118" s="39">
        <f t="shared" si="8"/>
        <v>6.1579999999999995</v>
      </c>
      <c r="S118" s="128">
        <f t="shared" si="12"/>
        <v>0.78430896283701723</v>
      </c>
      <c r="T118" s="154">
        <f t="shared" si="13"/>
        <v>6513.2</v>
      </c>
      <c r="U118" s="85"/>
      <c r="W118" s="77"/>
    </row>
    <row r="119" spans="1:75" ht="18.75" hidden="1">
      <c r="A119" s="7" t="s">
        <v>150</v>
      </c>
      <c r="B119" s="89">
        <v>448</v>
      </c>
      <c r="C119" s="42">
        <v>1577.4</v>
      </c>
      <c r="D119" s="42">
        <v>349.3</v>
      </c>
      <c r="E119" s="67">
        <v>1140.2</v>
      </c>
      <c r="F119" s="64">
        <v>1814.7</v>
      </c>
      <c r="G119" s="64">
        <v>247.2</v>
      </c>
      <c r="H119" s="64"/>
      <c r="I119" s="64"/>
      <c r="J119" s="109">
        <v>219</v>
      </c>
      <c r="K119" s="42">
        <f>1956.1+151.4</f>
        <v>2107.5</v>
      </c>
      <c r="L119" s="123">
        <f t="shared" si="9"/>
        <v>7455.3</v>
      </c>
      <c r="M119" s="42">
        <v>39.6</v>
      </c>
      <c r="N119" s="138">
        <f t="shared" si="10"/>
        <v>3202.1</v>
      </c>
      <c r="O119" s="125">
        <v>135.19999999999999</v>
      </c>
      <c r="P119" s="109">
        <f t="shared" si="11"/>
        <v>3337.2999999999997</v>
      </c>
      <c r="Q119" s="155">
        <f t="shared" si="7"/>
        <v>16.640999999999998</v>
      </c>
      <c r="R119" s="39">
        <f t="shared" si="8"/>
        <v>7.4493303571428564</v>
      </c>
      <c r="S119" s="128">
        <f t="shared" si="12"/>
        <v>0.80840417779936835</v>
      </c>
      <c r="T119" s="154">
        <f t="shared" si="13"/>
        <v>7494.9000000000005</v>
      </c>
      <c r="U119" s="85"/>
      <c r="W119" s="77"/>
    </row>
    <row r="120" spans="1:75" ht="18.75">
      <c r="A120" s="7" t="s">
        <v>151</v>
      </c>
      <c r="B120" s="89">
        <v>366</v>
      </c>
      <c r="C120" s="42">
        <v>1358.6</v>
      </c>
      <c r="D120" s="42">
        <v>300.8</v>
      </c>
      <c r="E120" s="67">
        <v>540.29999999999995</v>
      </c>
      <c r="F120" s="64">
        <f>1163.3+149.8</f>
        <v>1313.1</v>
      </c>
      <c r="G120" s="64">
        <v>189.4</v>
      </c>
      <c r="H120" s="64"/>
      <c r="I120" s="64"/>
      <c r="J120" s="109">
        <v>199</v>
      </c>
      <c r="K120" s="42">
        <f>1843.4+142.7</f>
        <v>1986.1000000000001</v>
      </c>
      <c r="L120" s="123">
        <f t="shared" si="9"/>
        <v>5887.3</v>
      </c>
      <c r="M120" s="42">
        <v>33.4</v>
      </c>
      <c r="N120" s="138">
        <f t="shared" si="10"/>
        <v>2042.8</v>
      </c>
      <c r="O120" s="125">
        <v>135.4</v>
      </c>
      <c r="P120" s="109">
        <f t="shared" si="11"/>
        <v>2178.1999999999998</v>
      </c>
      <c r="Q120" s="39">
        <f t="shared" si="7"/>
        <v>16.085999999999999</v>
      </c>
      <c r="R120" s="39">
        <f t="shared" si="8"/>
        <v>5.9513661202185784</v>
      </c>
      <c r="S120" s="128">
        <f t="shared" si="12"/>
        <v>0.78144279815399553</v>
      </c>
      <c r="T120" s="92">
        <f t="shared" si="13"/>
        <v>5920.7</v>
      </c>
      <c r="U120" s="85"/>
      <c r="W120" s="77"/>
    </row>
    <row r="121" spans="1:75" ht="18.75" hidden="1">
      <c r="A121" s="7" t="s">
        <v>152</v>
      </c>
      <c r="B121" s="89">
        <v>444</v>
      </c>
      <c r="C121" s="42">
        <v>1569.6</v>
      </c>
      <c r="D121" s="42">
        <v>347.5</v>
      </c>
      <c r="E121" s="67">
        <v>653.70000000000005</v>
      </c>
      <c r="F121" s="64">
        <f>1392.3+197.6</f>
        <v>1589.8999999999999</v>
      </c>
      <c r="G121" s="64">
        <v>222</v>
      </c>
      <c r="H121" s="64"/>
      <c r="I121" s="64"/>
      <c r="J121" s="109">
        <v>219</v>
      </c>
      <c r="K121" s="42">
        <f>2114.2+163.7</f>
        <v>2277.8999999999996</v>
      </c>
      <c r="L121" s="123">
        <f t="shared" si="9"/>
        <v>6879.6</v>
      </c>
      <c r="M121" s="42">
        <v>34.299999999999997</v>
      </c>
      <c r="N121" s="138">
        <f t="shared" si="10"/>
        <v>2465.6</v>
      </c>
      <c r="O121" s="125">
        <v>170</v>
      </c>
      <c r="P121" s="109">
        <f t="shared" si="11"/>
        <v>2635.6</v>
      </c>
      <c r="Q121" s="155">
        <f t="shared" si="7"/>
        <v>15.494999999999999</v>
      </c>
      <c r="R121" s="39">
        <f t="shared" si="8"/>
        <v>5.936036036036036</v>
      </c>
      <c r="S121" s="128">
        <f t="shared" si="12"/>
        <v>0.75273257226135526</v>
      </c>
      <c r="T121" s="154">
        <f t="shared" si="13"/>
        <v>6913.9000000000005</v>
      </c>
      <c r="U121" s="85"/>
      <c r="W121" s="77"/>
    </row>
    <row r="122" spans="1:75" ht="18.75">
      <c r="A122" s="7" t="s">
        <v>153</v>
      </c>
      <c r="B122" s="89">
        <v>370</v>
      </c>
      <c r="C122" s="42">
        <v>1288.2</v>
      </c>
      <c r="D122" s="42">
        <v>285.2</v>
      </c>
      <c r="E122" s="67">
        <v>772.7</v>
      </c>
      <c r="F122" s="64">
        <v>1382.1</v>
      </c>
      <c r="G122" s="64">
        <v>211.7</v>
      </c>
      <c r="H122" s="64"/>
      <c r="I122" s="64"/>
      <c r="J122" s="109">
        <v>199</v>
      </c>
      <c r="K122" s="42">
        <f>1518+117.5</f>
        <v>1635.5</v>
      </c>
      <c r="L122" s="123">
        <f t="shared" si="9"/>
        <v>5774.4</v>
      </c>
      <c r="M122" s="42">
        <v>39.4</v>
      </c>
      <c r="N122" s="138">
        <f t="shared" si="10"/>
        <v>2366.5</v>
      </c>
      <c r="O122" s="125">
        <v>136</v>
      </c>
      <c r="P122" s="109">
        <f t="shared" si="11"/>
        <v>2502.5</v>
      </c>
      <c r="Q122" s="39">
        <f t="shared" si="7"/>
        <v>15.606</v>
      </c>
      <c r="R122" s="39">
        <f t="shared" si="8"/>
        <v>6.7635135135135132</v>
      </c>
      <c r="S122" s="128">
        <f t="shared" si="12"/>
        <v>0.75812484819042991</v>
      </c>
      <c r="T122" s="92">
        <f t="shared" si="13"/>
        <v>5813.7999999999993</v>
      </c>
      <c r="U122" s="85"/>
      <c r="W122" s="77"/>
    </row>
    <row r="123" spans="1:75" ht="18.75">
      <c r="A123" s="7" t="s">
        <v>266</v>
      </c>
      <c r="B123" s="89">
        <v>333</v>
      </c>
      <c r="C123" s="6">
        <v>1335.1</v>
      </c>
      <c r="D123" s="110">
        <v>295.60000000000002</v>
      </c>
      <c r="E123" s="67">
        <v>556.70000000000005</v>
      </c>
      <c r="F123" s="64">
        <v>68</v>
      </c>
      <c r="G123" s="64">
        <v>187.6</v>
      </c>
      <c r="H123" s="64">
        <v>367.7</v>
      </c>
      <c r="I123" s="64"/>
      <c r="J123" s="109">
        <v>187</v>
      </c>
      <c r="K123" s="42">
        <f>1327.1+102.7</f>
        <v>1429.8</v>
      </c>
      <c r="L123" s="123">
        <f t="shared" si="9"/>
        <v>4427.5</v>
      </c>
      <c r="M123" s="42">
        <v>31.6</v>
      </c>
      <c r="N123" s="138">
        <f t="shared" si="10"/>
        <v>1180</v>
      </c>
      <c r="O123" s="125">
        <v>110.5</v>
      </c>
      <c r="P123" s="109">
        <f t="shared" si="11"/>
        <v>1290.5</v>
      </c>
      <c r="Q123" s="39">
        <f t="shared" si="7"/>
        <v>13.295999999999999</v>
      </c>
      <c r="R123" s="39">
        <f t="shared" si="8"/>
        <v>3.8753753753753752</v>
      </c>
      <c r="S123" s="128">
        <f t="shared" si="12"/>
        <v>0.64590721399076989</v>
      </c>
      <c r="T123" s="92">
        <f t="shared" si="13"/>
        <v>4459.1000000000004</v>
      </c>
      <c r="U123" s="85"/>
      <c r="W123" s="77"/>
    </row>
    <row r="124" spans="1:75" ht="18.75">
      <c r="A124" s="122" t="s">
        <v>160</v>
      </c>
      <c r="B124" s="89">
        <v>175</v>
      </c>
      <c r="C124" s="42">
        <v>873.9</v>
      </c>
      <c r="D124" s="42">
        <v>193.5</v>
      </c>
      <c r="E124" s="63">
        <v>438.8</v>
      </c>
      <c r="F124" s="63">
        <v>218.7</v>
      </c>
      <c r="G124" s="63">
        <v>86.7</v>
      </c>
      <c r="H124" s="69"/>
      <c r="I124" s="69"/>
      <c r="J124" s="42">
        <v>154</v>
      </c>
      <c r="K124" s="42">
        <f>808.9+62.7</f>
        <v>871.6</v>
      </c>
      <c r="L124" s="123">
        <f t="shared" si="9"/>
        <v>2837.2</v>
      </c>
      <c r="M124" s="6">
        <v>42.6</v>
      </c>
      <c r="N124" s="138">
        <f t="shared" si="10"/>
        <v>744.2</v>
      </c>
      <c r="O124" s="125">
        <v>91.5</v>
      </c>
      <c r="P124" s="109">
        <f t="shared" si="11"/>
        <v>835.7</v>
      </c>
      <c r="Q124" s="39">
        <f t="shared" si="7"/>
        <v>16.213000000000001</v>
      </c>
      <c r="R124" s="39">
        <f t="shared" si="8"/>
        <v>4.7754285714285718</v>
      </c>
      <c r="S124" s="128">
        <f t="shared" si="12"/>
        <v>0.78761233908185568</v>
      </c>
      <c r="T124" s="92">
        <f t="shared" si="13"/>
        <v>2879.7999999999997</v>
      </c>
      <c r="U124" s="85"/>
      <c r="W124" s="77"/>
      <c r="X124" s="77"/>
      <c r="Y124" s="77"/>
    </row>
    <row r="125" spans="1:75" ht="18.75">
      <c r="A125" s="122" t="s">
        <v>158</v>
      </c>
      <c r="B125" s="89">
        <v>103</v>
      </c>
      <c r="C125" s="42">
        <v>733.2</v>
      </c>
      <c r="D125" s="42">
        <v>162.30000000000001</v>
      </c>
      <c r="E125" s="63">
        <v>411.3</v>
      </c>
      <c r="F125" s="63">
        <v>332.5</v>
      </c>
      <c r="G125" s="63">
        <v>39.700000000000003</v>
      </c>
      <c r="H125" s="69"/>
      <c r="I125" s="69"/>
      <c r="J125" s="42">
        <v>130</v>
      </c>
      <c r="K125" s="42">
        <f>514.5+39.8</f>
        <v>554.29999999999995</v>
      </c>
      <c r="L125" s="123">
        <f t="shared" si="9"/>
        <v>2363.3000000000002</v>
      </c>
      <c r="M125" s="6">
        <v>158</v>
      </c>
      <c r="N125" s="138">
        <f t="shared" si="10"/>
        <v>783.5</v>
      </c>
      <c r="O125" s="125">
        <v>112.7</v>
      </c>
      <c r="P125" s="109">
        <f t="shared" si="11"/>
        <v>896.2</v>
      </c>
      <c r="Q125" s="39">
        <f t="shared" si="7"/>
        <v>22.945</v>
      </c>
      <c r="R125" s="39">
        <f t="shared" si="8"/>
        <v>8.7009708737864084</v>
      </c>
      <c r="S125" s="157">
        <f t="shared" si="12"/>
        <v>1.1146465873208646</v>
      </c>
      <c r="T125" s="92">
        <f t="shared" si="13"/>
        <v>2521.3000000000002</v>
      </c>
      <c r="U125" s="85"/>
      <c r="W125" s="77"/>
      <c r="X125" s="77"/>
      <c r="Y125" s="77"/>
    </row>
    <row r="126" spans="1:75" ht="18.75">
      <c r="A126" s="122" t="s">
        <v>154</v>
      </c>
      <c r="B126" s="89">
        <v>411</v>
      </c>
      <c r="C126" s="42">
        <v>1116.2</v>
      </c>
      <c r="D126" s="42">
        <v>247.1</v>
      </c>
      <c r="E126" s="63">
        <v>684.4</v>
      </c>
      <c r="F126" s="63">
        <f>936.2+191.3</f>
        <v>1127.5</v>
      </c>
      <c r="G126" s="63">
        <v>182.7</v>
      </c>
      <c r="H126" s="69"/>
      <c r="I126" s="69"/>
      <c r="J126" s="42">
        <v>199</v>
      </c>
      <c r="K126" s="42">
        <f>1881.5+145.8</f>
        <v>2027.3</v>
      </c>
      <c r="L126" s="123">
        <f t="shared" si="9"/>
        <v>5584.2</v>
      </c>
      <c r="M126" s="6">
        <v>81.599999999999994</v>
      </c>
      <c r="N126" s="138">
        <f t="shared" si="10"/>
        <v>1994.6000000000001</v>
      </c>
      <c r="O126" s="125">
        <v>152.9</v>
      </c>
      <c r="P126" s="109">
        <f t="shared" si="11"/>
        <v>2147.5</v>
      </c>
      <c r="Q126" s="39">
        <f t="shared" si="7"/>
        <v>13.587</v>
      </c>
      <c r="R126" s="39">
        <f t="shared" si="8"/>
        <v>5.2250608272506085</v>
      </c>
      <c r="S126" s="128">
        <f t="shared" si="12"/>
        <v>0.6600437211561816</v>
      </c>
      <c r="T126" s="92">
        <f t="shared" si="13"/>
        <v>5665.8</v>
      </c>
      <c r="U126" s="85"/>
      <c r="W126" s="77"/>
      <c r="X126" s="77"/>
      <c r="Y126" s="77"/>
    </row>
    <row r="127" spans="1:75" ht="18.75">
      <c r="A127" s="122" t="s">
        <v>155</v>
      </c>
      <c r="B127" s="89">
        <v>348</v>
      </c>
      <c r="C127" s="42">
        <v>1092.8</v>
      </c>
      <c r="D127" s="42">
        <v>242</v>
      </c>
      <c r="E127" s="63">
        <v>458.4</v>
      </c>
      <c r="F127" s="63">
        <v>950</v>
      </c>
      <c r="G127" s="63">
        <v>112.1</v>
      </c>
      <c r="H127" s="69"/>
      <c r="I127" s="69"/>
      <c r="J127" s="42">
        <v>177</v>
      </c>
      <c r="K127" s="42">
        <f>1828.9+141.5</f>
        <v>1970.4</v>
      </c>
      <c r="L127" s="123">
        <f t="shared" si="9"/>
        <v>5002.7</v>
      </c>
      <c r="M127" s="6">
        <v>85.4</v>
      </c>
      <c r="N127" s="138">
        <f t="shared" si="10"/>
        <v>1520.5</v>
      </c>
      <c r="O127" s="125">
        <v>123.2</v>
      </c>
      <c r="P127" s="109">
        <f t="shared" si="11"/>
        <v>1643.7</v>
      </c>
      <c r="Q127" s="39">
        <f t="shared" si="7"/>
        <v>14.375999999999999</v>
      </c>
      <c r="R127" s="39">
        <f t="shared" si="8"/>
        <v>4.7232758620689657</v>
      </c>
      <c r="S127" s="128">
        <f t="shared" si="12"/>
        <v>0.69837260140879276</v>
      </c>
      <c r="T127" s="92">
        <f t="shared" si="13"/>
        <v>5088.0999999999995</v>
      </c>
      <c r="U127" s="85"/>
      <c r="W127" s="77"/>
      <c r="X127" s="77"/>
      <c r="Y127" s="77"/>
    </row>
    <row r="128" spans="1:75" ht="18.75">
      <c r="A128" s="122" t="s">
        <v>156</v>
      </c>
      <c r="B128" s="89">
        <v>233</v>
      </c>
      <c r="C128" s="42">
        <v>834.8</v>
      </c>
      <c r="D128" s="42">
        <v>184.8</v>
      </c>
      <c r="E128" s="63">
        <v>314.3</v>
      </c>
      <c r="F128" s="63">
        <v>733.2</v>
      </c>
      <c r="G128" s="64">
        <v>67</v>
      </c>
      <c r="H128" s="69"/>
      <c r="I128" s="69"/>
      <c r="J128" s="42">
        <v>154</v>
      </c>
      <c r="K128" s="42">
        <f>999.8+77.4</f>
        <v>1077.2</v>
      </c>
      <c r="L128" s="123">
        <f t="shared" si="9"/>
        <v>3365.3</v>
      </c>
      <c r="M128" s="6">
        <v>100</v>
      </c>
      <c r="N128" s="138">
        <f t="shared" si="10"/>
        <v>1114.5</v>
      </c>
      <c r="O128" s="125">
        <v>110</v>
      </c>
      <c r="P128" s="109">
        <f t="shared" si="11"/>
        <v>1224.5</v>
      </c>
      <c r="Q128" s="39">
        <f t="shared" si="7"/>
        <v>14.443</v>
      </c>
      <c r="R128" s="39">
        <f t="shared" si="8"/>
        <v>5.255364806866953</v>
      </c>
      <c r="S128" s="128">
        <f t="shared" si="12"/>
        <v>0.70162739859120715</v>
      </c>
      <c r="T128" s="92">
        <f t="shared" si="13"/>
        <v>3465.3</v>
      </c>
      <c r="U128" s="85"/>
      <c r="W128" s="77"/>
      <c r="X128" s="77"/>
      <c r="Y128" s="77"/>
    </row>
    <row r="129" spans="1:75" ht="18.75" hidden="1">
      <c r="A129" s="120">
        <v>186</v>
      </c>
      <c r="B129" s="106">
        <v>348</v>
      </c>
      <c r="C129" s="44">
        <v>1186.5999999999999</v>
      </c>
      <c r="D129" s="44">
        <v>262.7</v>
      </c>
      <c r="E129" s="65">
        <v>1008.5</v>
      </c>
      <c r="F129" s="65">
        <f>2040.7+216.3</f>
        <v>2257</v>
      </c>
      <c r="G129" s="65">
        <v>162.9</v>
      </c>
      <c r="H129" s="70"/>
      <c r="I129" s="70"/>
      <c r="J129" s="44">
        <v>295</v>
      </c>
      <c r="K129" s="44">
        <f>1772.4+158.6</f>
        <v>1931</v>
      </c>
      <c r="L129" s="123">
        <f t="shared" si="9"/>
        <v>7103.7</v>
      </c>
      <c r="M129" s="97">
        <v>252.5</v>
      </c>
      <c r="N129" s="138">
        <f t="shared" si="10"/>
        <v>3428.4</v>
      </c>
      <c r="O129" s="125">
        <v>174.5</v>
      </c>
      <c r="P129" s="109">
        <f t="shared" si="11"/>
        <v>3602.9</v>
      </c>
      <c r="Q129" s="155">
        <f t="shared" si="7"/>
        <v>20.413</v>
      </c>
      <c r="R129" s="39">
        <f t="shared" si="8"/>
        <v>10.35316091954023</v>
      </c>
      <c r="S129" s="128">
        <f t="shared" si="12"/>
        <v>0.99164440126305564</v>
      </c>
      <c r="T129" s="154">
        <f t="shared" si="13"/>
        <v>7356.2</v>
      </c>
      <c r="U129" s="85"/>
      <c r="W129" s="77"/>
      <c r="X129" s="77"/>
      <c r="Y129" s="77"/>
    </row>
    <row r="130" spans="1:75" ht="18.75" hidden="1">
      <c r="A130" s="7" t="s">
        <v>162</v>
      </c>
      <c r="B130" s="89">
        <v>414</v>
      </c>
      <c r="C130" s="42">
        <v>1546.2</v>
      </c>
      <c r="D130" s="42">
        <v>342.3</v>
      </c>
      <c r="E130" s="63">
        <v>877.6</v>
      </c>
      <c r="F130" s="63">
        <f>1834.8+246.8</f>
        <v>2081.6</v>
      </c>
      <c r="G130" s="63">
        <v>344.7</v>
      </c>
      <c r="H130" s="69"/>
      <c r="I130" s="69"/>
      <c r="J130" s="6">
        <v>219</v>
      </c>
      <c r="K130" s="42">
        <f>1807+139.9</f>
        <v>1946.9</v>
      </c>
      <c r="L130" s="123">
        <f t="shared" si="9"/>
        <v>7358.3</v>
      </c>
      <c r="M130" s="6">
        <v>76.7</v>
      </c>
      <c r="N130" s="138">
        <f t="shared" si="10"/>
        <v>3303.8999999999996</v>
      </c>
      <c r="O130" s="125">
        <v>118.6</v>
      </c>
      <c r="P130" s="109">
        <f t="shared" si="11"/>
        <v>3422.4999999999995</v>
      </c>
      <c r="Q130" s="155">
        <f t="shared" si="7"/>
        <v>17.774000000000001</v>
      </c>
      <c r="R130" s="39">
        <f t="shared" si="8"/>
        <v>8.2669082125603861</v>
      </c>
      <c r="S130" s="128">
        <f t="shared" si="12"/>
        <v>0.86344425552586834</v>
      </c>
      <c r="T130" s="154">
        <f t="shared" si="13"/>
        <v>7435</v>
      </c>
      <c r="U130" s="85"/>
      <c r="W130" s="77"/>
      <c r="X130" s="77"/>
      <c r="Y130" s="77"/>
    </row>
    <row r="131" spans="1:75" ht="18.75">
      <c r="A131" s="122" t="s">
        <v>157</v>
      </c>
      <c r="B131" s="89">
        <v>401</v>
      </c>
      <c r="C131" s="42">
        <v>1378.5</v>
      </c>
      <c r="D131" s="42">
        <v>295.3</v>
      </c>
      <c r="E131" s="63">
        <v>802.3</v>
      </c>
      <c r="F131" s="63">
        <v>1105.7</v>
      </c>
      <c r="G131" s="63">
        <v>134.69999999999999</v>
      </c>
      <c r="H131" s="69"/>
      <c r="I131" s="69"/>
      <c r="J131" s="42">
        <v>208</v>
      </c>
      <c r="K131" s="42">
        <v>1607</v>
      </c>
      <c r="L131" s="123">
        <f t="shared" si="9"/>
        <v>5531.5</v>
      </c>
      <c r="M131" s="6">
        <v>210</v>
      </c>
      <c r="N131" s="138">
        <f t="shared" si="10"/>
        <v>2042.7</v>
      </c>
      <c r="O131" s="125">
        <v>152.9</v>
      </c>
      <c r="P131" s="109">
        <f t="shared" si="11"/>
        <v>2195.6</v>
      </c>
      <c r="Q131" s="39">
        <f t="shared" si="7"/>
        <v>13.794</v>
      </c>
      <c r="R131" s="39">
        <f t="shared" si="8"/>
        <v>5.4753117206982544</v>
      </c>
      <c r="S131" s="128">
        <f t="shared" si="12"/>
        <v>0.67009958707796935</v>
      </c>
      <c r="T131" s="92">
        <f>L131+M131</f>
        <v>5741.5</v>
      </c>
      <c r="U131" s="85"/>
      <c r="W131" s="77"/>
      <c r="X131" s="77"/>
      <c r="Y131" s="77"/>
    </row>
    <row r="132" spans="1:75" ht="18.75">
      <c r="A132" s="122" t="s">
        <v>159</v>
      </c>
      <c r="B132" s="89">
        <v>162</v>
      </c>
      <c r="C132" s="42">
        <v>866.1</v>
      </c>
      <c r="D132" s="42">
        <v>191.8</v>
      </c>
      <c r="E132" s="63">
        <v>196.5</v>
      </c>
      <c r="F132" s="63">
        <v>418.3</v>
      </c>
      <c r="G132" s="63">
        <v>69.7</v>
      </c>
      <c r="H132" s="69"/>
      <c r="I132" s="69"/>
      <c r="J132" s="42">
        <v>154</v>
      </c>
      <c r="K132" s="42">
        <f>867.1+67.1</f>
        <v>934.2</v>
      </c>
      <c r="L132" s="123">
        <f t="shared" si="9"/>
        <v>2830.6</v>
      </c>
      <c r="M132" s="6">
        <v>53.8</v>
      </c>
      <c r="N132" s="138">
        <f t="shared" si="10"/>
        <v>684.5</v>
      </c>
      <c r="O132" s="125">
        <v>137.80000000000001</v>
      </c>
      <c r="P132" s="109">
        <f t="shared" si="11"/>
        <v>822.3</v>
      </c>
      <c r="Q132" s="39">
        <f t="shared" ref="Q132:Q133" si="14">ROUND(L132/B132,3)</f>
        <v>17.472999999999999</v>
      </c>
      <c r="R132" s="39">
        <f t="shared" ref="R132:R134" si="15">P132/B132</f>
        <v>5.075925925925926</v>
      </c>
      <c r="S132" s="128">
        <f t="shared" si="12"/>
        <v>0.8488219577362156</v>
      </c>
      <c r="T132" s="92">
        <f t="shared" si="13"/>
        <v>2884.4</v>
      </c>
      <c r="U132" s="85"/>
      <c r="W132" s="77"/>
      <c r="X132" s="77"/>
      <c r="Y132" s="77"/>
    </row>
    <row r="133" spans="1:75" ht="18.75">
      <c r="A133" s="122" t="s">
        <v>161</v>
      </c>
      <c r="B133" s="89">
        <v>372</v>
      </c>
      <c r="C133" s="42">
        <v>1288.7</v>
      </c>
      <c r="D133" s="42">
        <v>285.3</v>
      </c>
      <c r="E133" s="63">
        <v>749.9</v>
      </c>
      <c r="F133" s="63">
        <v>1153</v>
      </c>
      <c r="G133" s="63">
        <v>203.2</v>
      </c>
      <c r="H133" s="69"/>
      <c r="I133" s="69"/>
      <c r="J133" s="42">
        <v>199</v>
      </c>
      <c r="K133" s="42">
        <f>1863.3+144.2</f>
        <v>2007.5</v>
      </c>
      <c r="L133" s="123">
        <f t="shared" ref="L133:L134" si="16">ROUND(C133+D133+H133+J133+K133+F133+G133+E133,1)</f>
        <v>5886.6</v>
      </c>
      <c r="M133" s="6">
        <v>907.8</v>
      </c>
      <c r="N133" s="138">
        <f>E133+F133+G133+H133+I133</f>
        <v>2106.1</v>
      </c>
      <c r="O133" s="125">
        <v>129.19999999999999</v>
      </c>
      <c r="P133" s="109">
        <f t="shared" ref="P133:P134" si="17">N133+O133</f>
        <v>2235.2999999999997</v>
      </c>
      <c r="Q133" s="39">
        <f t="shared" si="14"/>
        <v>15.824</v>
      </c>
      <c r="R133" s="39">
        <f t="shared" si="15"/>
        <v>6.0088709677419345</v>
      </c>
      <c r="S133" s="128">
        <f>Q133/20.585</f>
        <v>0.76871508379888265</v>
      </c>
      <c r="T133" s="92">
        <f t="shared" ref="T133:T134" si="18">L133+M133</f>
        <v>6794.4000000000005</v>
      </c>
      <c r="U133" s="85"/>
      <c r="W133" s="77"/>
      <c r="X133" s="77"/>
      <c r="Y133" s="77"/>
    </row>
    <row r="134" spans="1:75" ht="18.75">
      <c r="A134" s="122" t="s">
        <v>291</v>
      </c>
      <c r="B134" s="89"/>
      <c r="C134" s="42">
        <v>928.6</v>
      </c>
      <c r="D134" s="42">
        <v>204.9</v>
      </c>
      <c r="E134" s="63"/>
      <c r="F134" s="63"/>
      <c r="G134" s="63"/>
      <c r="H134" s="69"/>
      <c r="I134" s="69"/>
      <c r="J134" s="42"/>
      <c r="K134" s="42">
        <v>2788.6</v>
      </c>
      <c r="L134" s="123">
        <f t="shared" si="16"/>
        <v>3922.1</v>
      </c>
      <c r="M134" s="6"/>
      <c r="N134" s="138">
        <f t="shared" ref="N134" si="19">E134+F134+G134+H134+I134</f>
        <v>0</v>
      </c>
      <c r="O134" s="125">
        <v>0</v>
      </c>
      <c r="P134" s="109">
        <f t="shared" si="17"/>
        <v>0</v>
      </c>
      <c r="Q134" s="39"/>
      <c r="R134" s="39" t="e">
        <f t="shared" si="15"/>
        <v>#DIV/0!</v>
      </c>
      <c r="S134" s="128">
        <f>Q134/20.585</f>
        <v>0</v>
      </c>
      <c r="T134" s="92">
        <f t="shared" si="18"/>
        <v>3922.1</v>
      </c>
      <c r="U134" s="85"/>
      <c r="W134" s="77"/>
      <c r="X134" s="77"/>
      <c r="Y134" s="77"/>
    </row>
    <row r="135" spans="1:75" s="114" customFormat="1" ht="15.75">
      <c r="A135" s="111" t="s">
        <v>263</v>
      </c>
      <c r="B135" s="112">
        <f>B4+B6+B7+B8+B9+B10+B11+B12+B15+B17+B20+B21+B22+B23+B24+B26+B27+B28+B29+B30+B31+B32+B33+B34+B35+B36+B37+B39+B40+B41+B44+B45+B47+B48+B50+B51+B52+B53+B54+B56+B57+B58+B59+B60+B61+B62+B64+B66+B67+B68+B69+B70+B71+B72+B73+B75+B76+B77+B78+B80+B81+B83+B85+B86+B89+B90+B91+B93+B94+B95+B99+B100+B102+B103+B104+B105+B106+B107+B108+B111+B115+B120+B122+B123+B124+B125+B126+B127+B128+B131+B132+B133+B134</f>
        <v>20078</v>
      </c>
      <c r="C135" s="112">
        <f t="shared" ref="C135:P135" si="20">C4+C6+C7+C8+C9+C10+C11+C12+C15+C17+C20+C21+C22+C23+C24+C26+C27+C28+C29+C30+C31+C32+C33+C34+C35+C36+C37+C39+C40+C41+C44+C45+C47+C48+C50+C51+C52+C53+C54+C56+C57+C58+C59+C60+C61+C62+C64+C66+C67+C68+C69+C70+C71+C72+C73+C75+C76+C77+C78+C80+C81+C83+C85+C86+C89+C90+C91+C93+C94+C95+C99+C100+C102+C103+C104+C105+C106+C107+C108+C111+C115+C120+C122+C123+C124+C125+C126+C127+C128+C131+C132+C133+C134</f>
        <v>87254.60000000002</v>
      </c>
      <c r="D135" s="112">
        <f t="shared" si="20"/>
        <v>19309.399999999983</v>
      </c>
      <c r="E135" s="112">
        <f t="shared" si="20"/>
        <v>37750.400000000016</v>
      </c>
      <c r="F135" s="112">
        <f t="shared" si="20"/>
        <v>65623.399999999994</v>
      </c>
      <c r="G135" s="112">
        <f t="shared" si="20"/>
        <v>8868.4</v>
      </c>
      <c r="H135" s="112">
        <f t="shared" si="20"/>
        <v>367.7</v>
      </c>
      <c r="I135" s="112">
        <f t="shared" si="20"/>
        <v>67.599999999999994</v>
      </c>
      <c r="J135" s="112">
        <f t="shared" si="20"/>
        <v>14747</v>
      </c>
      <c r="K135" s="112">
        <f t="shared" si="20"/>
        <v>105162.40000000001</v>
      </c>
      <c r="L135" s="112">
        <f t="shared" si="20"/>
        <v>339150.89999999991</v>
      </c>
      <c r="M135" s="112">
        <f>M4+M6+M7+M8+M9+M10+M11+M12+M15+M17+M20+M21+M22+M23+M24+M26+M27+M28+M29+M30+M31+M32+M33+M34+M35+M36+M37+M39+M40+M41+M44+M45+M47+M48+M50+M51+M52+M53+M54+M56+M57+M58+M59+M60+M61+M62+M64+M66+M67+M68+M69+M70+M71+M72+M73+M75+M76+M77+M78+M80+M81+M83+M85+M86+M89+M90+M91+M93+M94+M95+M99+M100+M102+M103+M104+M105+M106+M107+M108+M111+M115+M120+M122+M123+M124+M125+M126+M127+M128+M131+M132+M133+M134</f>
        <v>4823.5999999999995</v>
      </c>
      <c r="N135" s="112">
        <f t="shared" si="20"/>
        <v>112677.50000000001</v>
      </c>
      <c r="O135" s="112">
        <f t="shared" si="20"/>
        <v>10791.999999999996</v>
      </c>
      <c r="P135" s="112">
        <f t="shared" si="20"/>
        <v>123469.50000000003</v>
      </c>
      <c r="Q135" s="140">
        <f>ROUND(L135/B135,4)</f>
        <v>16.8917</v>
      </c>
      <c r="R135" s="39">
        <f>P135/B135</f>
        <v>6.1494919812730364</v>
      </c>
      <c r="S135" s="112"/>
      <c r="T135" s="112">
        <f t="shared" ref="T135" si="21">T4+T6+T7+T8+T9+T10+T11+T12+T15+T17+T20+T21+T22+T23+T24+T26+T27+T28+T29+T30+T31+T32+T33+T34+T35+T36+T37+T39+T40+T41+T44+T45+T47+T48+T50+T51+T52+T53+T54+T56+T57+T58+T59+T60+T61+T62+T64+T66+T67+T68+T69+T70+T71+T72+T73+T75+T76+T77+T78+T80+T81+T83+T85+T86+T89+T90+T91+T93+T94+T95+T99+T100+T102+T103+T104+T105+T106+T107+T108+T111+T115+T120+T122+T123+T124+T125+T126+T127+T128+T131+T132+T133+T134</f>
        <v>343974.49999999994</v>
      </c>
      <c r="U135" s="113">
        <f>T135+'2 корпуса'!T158+бассейн!T158+компенсир!T145</f>
        <v>546181.69999999995</v>
      </c>
      <c r="V135" s="80"/>
      <c r="W135" s="80"/>
      <c r="X135" s="80"/>
      <c r="Y135" s="80"/>
      <c r="Z135" s="87"/>
      <c r="AA135" s="87"/>
      <c r="AB135" s="87"/>
      <c r="AC135" s="87"/>
      <c r="AD135" s="87"/>
      <c r="AE135" s="87"/>
      <c r="AF135" s="87"/>
      <c r="AG135" s="87"/>
      <c r="AH135" s="87"/>
      <c r="AI135" s="87"/>
      <c r="AJ135" s="87"/>
      <c r="AK135" s="87"/>
      <c r="AL135" s="87"/>
      <c r="AM135" s="87"/>
      <c r="AN135" s="87"/>
      <c r="AO135" s="87"/>
      <c r="AP135" s="87"/>
      <c r="AQ135" s="87"/>
      <c r="AR135" s="87"/>
      <c r="AS135" s="87"/>
      <c r="AT135" s="87"/>
      <c r="AU135" s="87"/>
      <c r="AV135" s="87"/>
      <c r="AW135" s="87"/>
      <c r="AX135" s="87"/>
      <c r="AY135" s="87"/>
      <c r="AZ135" s="87"/>
      <c r="BA135" s="87"/>
      <c r="BB135" s="87"/>
      <c r="BC135" s="87"/>
      <c r="BD135" s="87"/>
      <c r="BE135" s="87"/>
      <c r="BF135" s="87"/>
      <c r="BG135" s="87"/>
      <c r="BH135" s="87"/>
      <c r="BI135" s="87"/>
      <c r="BJ135" s="87"/>
      <c r="BK135" s="87"/>
      <c r="BL135" s="87"/>
      <c r="BM135" s="87"/>
      <c r="BN135" s="87"/>
      <c r="BO135" s="87"/>
      <c r="BP135" s="87"/>
      <c r="BQ135" s="87"/>
      <c r="BR135" s="87"/>
      <c r="BS135" s="87"/>
      <c r="BT135" s="87"/>
      <c r="BU135" s="87"/>
      <c r="BV135" s="87"/>
      <c r="BW135" s="87"/>
    </row>
    <row r="136" spans="1:75">
      <c r="A136" s="89"/>
      <c r="B136" s="89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122"/>
      <c r="O136" s="7"/>
      <c r="P136" s="7"/>
      <c r="Q136" s="7"/>
      <c r="R136" s="7"/>
      <c r="S136" s="21"/>
      <c r="T136" s="39"/>
      <c r="U136" s="80">
        <v>546181.70000000007</v>
      </c>
    </row>
    <row r="137" spans="1:75">
      <c r="A137" s="6"/>
      <c r="B137" s="115"/>
      <c r="C137" s="7"/>
      <c r="D137" s="7"/>
      <c r="E137" s="7"/>
      <c r="F137" s="7"/>
      <c r="G137" s="7"/>
      <c r="H137" s="7"/>
      <c r="I137" s="7"/>
      <c r="J137" s="7"/>
      <c r="K137" s="7"/>
      <c r="L137" s="7"/>
      <c r="M137" s="7"/>
      <c r="N137" s="122"/>
      <c r="O137" s="7"/>
      <c r="P137" s="7"/>
      <c r="Q137" s="7"/>
      <c r="R137" s="7"/>
      <c r="S137" s="21"/>
      <c r="T137" s="39"/>
    </row>
    <row r="138" spans="1:75">
      <c r="B138" s="95">
        <f>B135+'2 корпуса'!B158+бассейн!B158+компенсир!B145</f>
        <v>30745</v>
      </c>
      <c r="C138" s="95"/>
      <c r="D138" s="95"/>
      <c r="E138" s="95"/>
      <c r="F138" s="95"/>
      <c r="G138" s="95"/>
      <c r="H138" s="95"/>
      <c r="I138" s="95"/>
      <c r="J138" s="95"/>
      <c r="K138" s="95"/>
      <c r="L138" s="95">
        <f>L135+'2 корпуса'!L158+бассейн!L158+компенсир!L145</f>
        <v>539311.39999999991</v>
      </c>
      <c r="M138" s="95">
        <f>M135+'2 корпуса'!M158+бассейн!M158+компенсир!M145</f>
        <v>6870.2999999999993</v>
      </c>
      <c r="S138" s="141"/>
      <c r="T138" s="116"/>
      <c r="U138" s="117">
        <f>U136-U135</f>
        <v>0</v>
      </c>
      <c r="V138" s="117"/>
    </row>
    <row r="139" spans="1:75">
      <c r="B139" s="25">
        <v>30745</v>
      </c>
      <c r="L139" s="118">
        <v>539311.4</v>
      </c>
      <c r="M139" s="25">
        <v>6870.3</v>
      </c>
      <c r="N139" s="133"/>
      <c r="T139" s="116"/>
    </row>
    <row r="140" spans="1:75">
      <c r="M140" s="95"/>
      <c r="T140" s="116"/>
    </row>
    <row r="141" spans="1:75">
      <c r="T141" s="116"/>
    </row>
    <row r="142" spans="1:75">
      <c r="T142" s="116"/>
    </row>
    <row r="143" spans="1:75">
      <c r="T143" s="116"/>
    </row>
  </sheetData>
  <autoFilter ref="A1:A143">
    <filterColumn colId="0">
      <filters blank="1">
        <filter val="104"/>
        <filter val="123"/>
        <filter val="153"/>
        <filter val="16"/>
        <filter val="167"/>
        <filter val="185"/>
        <filter val="194"/>
        <filter val="201"/>
        <filter val="214"/>
        <filter val="235"/>
        <filter val="55"/>
        <filter val="ВСЕГО"/>
        <filter val="Запад"/>
        <filter val="МАДОУ №178"/>
        <filter val="МАДОУ №253"/>
        <filter val="МАДОУ №257"/>
        <filter val="МАДОУ №258"/>
        <filter val="МАДОУ №33"/>
        <filter val="МАДОУ №43"/>
        <filter val="МАДОУ №45"/>
        <filter val="МАДОУ №90"/>
        <filter val="МДОУ &quot; Ивушка&quot;"/>
        <filter val="МДОУ &quot; Кристаллик&quot;"/>
        <filter val="МДОУ &quot;Сказка&quot;"/>
        <filter val="МДОУ №1"/>
        <filter val="МДОУ №100"/>
        <filter val="МДОУ №103"/>
        <filter val="МДОУ №105"/>
        <filter val="МДОУ №110"/>
        <filter val="МДОУ №111"/>
        <filter val="МДОУ №112"/>
        <filter val="МДОУ №118"/>
        <filter val="МДОУ №119"/>
        <filter val="МДОУ №125"/>
        <filter val="МДОУ №128"/>
        <filter val="МДОУ №13"/>
        <filter val="МДОУ №130"/>
        <filter val="МДОУ №132"/>
        <filter val="МДОУ №133"/>
        <filter val="МДОУ №135"/>
        <filter val="МДОУ №142"/>
        <filter val="МДОУ №143"/>
        <filter val="МДОУ №144"/>
        <filter val="МДОУ №15"/>
        <filter val="МДОУ №150"/>
        <filter val="МДОУ №151"/>
        <filter val="МДОУ №152"/>
        <filter val="МДОУ №155"/>
        <filter val="МДОУ №156"/>
        <filter val="МДОУ №157"/>
        <filter val="МДОУ №162"/>
        <filter val="МДОУ №165"/>
        <filter val="МДОУ №166"/>
        <filter val="МДОУ №168"/>
        <filter val="МДОУ №169"/>
        <filter val="МДОУ №17"/>
        <filter val="МДОУ №170"/>
        <filter val="МДОУ №171"/>
        <filter val="МДОУ №172"/>
        <filter val="МДОУ №174"/>
        <filter val="МДОУ №175"/>
        <filter val="МДОУ №176"/>
        <filter val="МДОУ №179"/>
        <filter val="МДОУ №18"/>
        <filter val="МДОУ №183"/>
        <filter val="МДОУ №184"/>
        <filter val="МДОУ №199"/>
        <filter val="МДОУ №2"/>
        <filter val="МДОУ №20"/>
        <filter val="МДОУ №211"/>
        <filter val="МДОУ №215"/>
        <filter val="МДОУ №216"/>
        <filter val="МДОУ №217"/>
        <filter val="МДОУ №224"/>
        <filter val="МДОУ №225"/>
        <filter val="МДОУ №231"/>
        <filter val="МДОУ №233"/>
        <filter val="МДОУ №246"/>
        <filter val="МДОУ №31"/>
        <filter val="МДОУ №46"/>
        <filter val="МДОУ №52"/>
        <filter val="МДОУ №54"/>
        <filter val="МДОУ №58"/>
        <filter val="МДОУ №60"/>
        <filter val="МДОУ №62"/>
        <filter val="МДОУ №63"/>
        <filter val="МДОУ №64"/>
        <filter val="МДОУ №65"/>
        <filter val="МДОУ №7"/>
        <filter val="МДОУ №72"/>
        <filter val="МДОУ №78"/>
        <filter val="МДОУ №8"/>
        <filter val="МДОУ №83"/>
        <filter val="МДОУ №9"/>
        <filter val="Наименование МДОУ"/>
        <filter val="общеразвиавающие"/>
      </filters>
    </filterColumn>
  </autoFilter>
  <mergeCells count="2">
    <mergeCell ref="A1:B1"/>
    <mergeCell ref="A3:T3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V138"/>
  <sheetViews>
    <sheetView topLeftCell="A7" workbookViewId="0">
      <selection activeCell="W89" sqref="W89"/>
    </sheetView>
  </sheetViews>
  <sheetFormatPr defaultRowHeight="15"/>
  <cols>
    <col min="1" max="1" width="17.140625" customWidth="1"/>
  </cols>
  <sheetData>
    <row r="1" spans="1:20" ht="210">
      <c r="B1" s="81" t="s">
        <v>260</v>
      </c>
      <c r="C1" s="71">
        <v>211</v>
      </c>
      <c r="D1" s="71">
        <v>213</v>
      </c>
      <c r="E1" s="153" t="s">
        <v>13</v>
      </c>
      <c r="F1" s="153" t="s">
        <v>267</v>
      </c>
      <c r="G1" s="153" t="s">
        <v>12</v>
      </c>
      <c r="H1" s="153" t="s">
        <v>14</v>
      </c>
      <c r="I1" s="153" t="s">
        <v>269</v>
      </c>
      <c r="J1" s="71" t="s">
        <v>15</v>
      </c>
      <c r="K1" s="73" t="s">
        <v>261</v>
      </c>
      <c r="L1" s="82" t="s">
        <v>296</v>
      </c>
      <c r="M1" s="139" t="s">
        <v>310</v>
      </c>
      <c r="N1" s="135" t="s">
        <v>297</v>
      </c>
      <c r="O1" s="136" t="s">
        <v>298</v>
      </c>
      <c r="P1" s="137" t="s">
        <v>312</v>
      </c>
      <c r="Q1" s="148" t="s">
        <v>307</v>
      </c>
      <c r="R1" s="149" t="s">
        <v>309</v>
      </c>
      <c r="S1" s="8" t="s">
        <v>313</v>
      </c>
      <c r="T1" s="43" t="s">
        <v>293</v>
      </c>
    </row>
    <row r="2" spans="1:20">
      <c r="A2" s="207" t="s">
        <v>273</v>
      </c>
      <c r="B2" s="207"/>
      <c r="C2" s="78"/>
      <c r="D2" s="78"/>
      <c r="E2" s="79"/>
      <c r="F2" s="79"/>
      <c r="G2" s="79"/>
      <c r="H2" s="78"/>
      <c r="I2" s="78"/>
      <c r="J2" s="78"/>
      <c r="K2" s="78"/>
      <c r="L2" s="78"/>
      <c r="M2" s="78"/>
      <c r="N2" s="130"/>
      <c r="O2" s="25"/>
      <c r="P2" s="25"/>
      <c r="Q2" s="25"/>
      <c r="R2" s="25"/>
      <c r="S2" s="127"/>
      <c r="T2" s="25"/>
    </row>
    <row r="3" spans="1:20">
      <c r="A3" s="162" t="s">
        <v>327</v>
      </c>
      <c r="B3" s="158"/>
      <c r="C3" s="78"/>
      <c r="D3" s="78"/>
      <c r="E3" s="79"/>
      <c r="F3" s="79"/>
      <c r="G3" s="79"/>
      <c r="H3" s="78"/>
      <c r="I3" s="78"/>
      <c r="J3" s="78"/>
      <c r="K3" s="78"/>
      <c r="L3" s="78"/>
      <c r="M3" s="78"/>
      <c r="N3" s="130"/>
      <c r="O3" s="25"/>
      <c r="P3" s="25"/>
      <c r="Q3" s="25"/>
      <c r="R3" s="25"/>
      <c r="S3" s="127"/>
      <c r="T3" s="25"/>
    </row>
    <row r="4" spans="1:20" ht="18.75">
      <c r="A4" s="120">
        <v>226</v>
      </c>
      <c r="B4" s="106">
        <v>458</v>
      </c>
      <c r="C4" s="52">
        <v>1397.6</v>
      </c>
      <c r="D4" s="52">
        <v>309.39999999999998</v>
      </c>
      <c r="E4" s="63">
        <v>776.5</v>
      </c>
      <c r="F4" s="63">
        <v>1124.4000000000001</v>
      </c>
      <c r="G4" s="63">
        <v>138.1</v>
      </c>
      <c r="H4" s="66"/>
      <c r="I4" s="66"/>
      <c r="J4" s="96">
        <v>274</v>
      </c>
      <c r="K4" s="97">
        <v>2332.6999999999998</v>
      </c>
      <c r="L4" s="123">
        <v>6352.7</v>
      </c>
      <c r="M4" s="42">
        <v>60.5</v>
      </c>
      <c r="N4" s="138">
        <v>2039</v>
      </c>
      <c r="O4" s="125">
        <v>194.9</v>
      </c>
      <c r="P4" s="109">
        <v>2233.9</v>
      </c>
      <c r="Q4" s="39">
        <v>13.871</v>
      </c>
      <c r="R4" s="39">
        <v>4.8775109170305679</v>
      </c>
      <c r="S4" s="128">
        <v>0.67384017488462467</v>
      </c>
      <c r="T4" s="154">
        <v>6413.2</v>
      </c>
    </row>
    <row r="5" spans="1:20" ht="18.75">
      <c r="A5" s="7" t="s">
        <v>92</v>
      </c>
      <c r="B5" s="89">
        <v>475</v>
      </c>
      <c r="C5" s="51">
        <v>1397.6</v>
      </c>
      <c r="D5" s="51">
        <v>309.39999999999998</v>
      </c>
      <c r="E5" s="63">
        <v>1057.7</v>
      </c>
      <c r="F5" s="63">
        <v>1024.9000000000001</v>
      </c>
      <c r="G5" s="63">
        <v>218.6</v>
      </c>
      <c r="H5" s="64"/>
      <c r="I5" s="64"/>
      <c r="J5" s="108">
        <v>274</v>
      </c>
      <c r="K5" s="6">
        <v>2348.4</v>
      </c>
      <c r="L5" s="123">
        <v>6630.6</v>
      </c>
      <c r="M5" s="42">
        <v>63.8</v>
      </c>
      <c r="N5" s="138">
        <v>2301.2000000000003</v>
      </c>
      <c r="O5" s="125">
        <v>153.5</v>
      </c>
      <c r="P5" s="109">
        <v>2454.7000000000003</v>
      </c>
      <c r="Q5" s="39">
        <v>13.959</v>
      </c>
      <c r="R5" s="39">
        <v>5.1677894736842109</v>
      </c>
      <c r="S5" s="128">
        <v>0.67811513237794507</v>
      </c>
      <c r="T5" s="154">
        <v>6694.4000000000005</v>
      </c>
    </row>
    <row r="6" spans="1:20" ht="18.75">
      <c r="A6" s="7" t="s">
        <v>94</v>
      </c>
      <c r="B6" s="89">
        <v>445</v>
      </c>
      <c r="C6" s="51">
        <v>1327.3</v>
      </c>
      <c r="D6" s="51">
        <v>293.89999999999998</v>
      </c>
      <c r="E6" s="63">
        <v>593.5</v>
      </c>
      <c r="F6" s="63">
        <v>1388.2</v>
      </c>
      <c r="G6" s="63">
        <v>185.4</v>
      </c>
      <c r="H6" s="64"/>
      <c r="I6" s="64"/>
      <c r="J6" s="108">
        <v>274</v>
      </c>
      <c r="K6" s="6">
        <v>1980.2</v>
      </c>
      <c r="L6" s="123">
        <v>6042.5</v>
      </c>
      <c r="M6" s="42">
        <v>60.5</v>
      </c>
      <c r="N6" s="138">
        <v>2167.1</v>
      </c>
      <c r="O6" s="125">
        <v>143</v>
      </c>
      <c r="P6" s="109">
        <v>2310.1</v>
      </c>
      <c r="Q6" s="39">
        <v>13.579000000000001</v>
      </c>
      <c r="R6" s="39">
        <v>5.1912359550561797</v>
      </c>
      <c r="S6" s="128">
        <v>0.6596550886567889</v>
      </c>
      <c r="T6" s="154">
        <v>6103</v>
      </c>
    </row>
    <row r="7" spans="1:20" ht="18.75">
      <c r="A7" s="7" t="s">
        <v>95</v>
      </c>
      <c r="B7" s="89">
        <v>422</v>
      </c>
      <c r="C7" s="51">
        <v>1092.8</v>
      </c>
      <c r="D7" s="51">
        <v>242</v>
      </c>
      <c r="E7" s="63">
        <v>556.70000000000005</v>
      </c>
      <c r="F7" s="63">
        <v>1817.9</v>
      </c>
      <c r="G7" s="63">
        <v>121.9</v>
      </c>
      <c r="H7" s="64"/>
      <c r="I7" s="64"/>
      <c r="J7" s="108">
        <v>187</v>
      </c>
      <c r="K7" s="6">
        <v>2027.3</v>
      </c>
      <c r="L7" s="123">
        <v>6045.6</v>
      </c>
      <c r="M7" s="42">
        <v>58.1</v>
      </c>
      <c r="N7" s="138">
        <v>2496.5000000000005</v>
      </c>
      <c r="O7" s="125">
        <v>142</v>
      </c>
      <c r="P7" s="109">
        <v>2638.5000000000005</v>
      </c>
      <c r="Q7" s="39">
        <v>14.326000000000001</v>
      </c>
      <c r="R7" s="39">
        <v>6.2523696682464465</v>
      </c>
      <c r="S7" s="128">
        <v>0.69594364828758803</v>
      </c>
      <c r="T7" s="92">
        <v>6103.7000000000007</v>
      </c>
    </row>
    <row r="8" spans="1:20" ht="18.75">
      <c r="A8" s="7" t="s">
        <v>123</v>
      </c>
      <c r="B8" s="89">
        <v>495</v>
      </c>
      <c r="C8" s="6">
        <v>1810.4</v>
      </c>
      <c r="D8" s="110">
        <v>400.8</v>
      </c>
      <c r="E8" s="67">
        <v>723.7</v>
      </c>
      <c r="F8" s="64">
        <v>1812.6</v>
      </c>
      <c r="G8" s="64">
        <v>235.6</v>
      </c>
      <c r="H8" s="64"/>
      <c r="I8" s="64"/>
      <c r="J8" s="109">
        <v>259.60000000000002</v>
      </c>
      <c r="K8" s="42">
        <v>2481.6000000000004</v>
      </c>
      <c r="L8" s="123">
        <v>7724.3</v>
      </c>
      <c r="M8" s="42">
        <v>76.7</v>
      </c>
      <c r="N8" s="138">
        <v>2771.9</v>
      </c>
      <c r="O8" s="125">
        <v>189.7</v>
      </c>
      <c r="P8" s="109">
        <v>2961.6</v>
      </c>
      <c r="Q8" s="39">
        <v>15.605</v>
      </c>
      <c r="R8" s="39">
        <v>5.9830303030303025</v>
      </c>
      <c r="S8" s="128">
        <v>0.75807626912800585</v>
      </c>
      <c r="T8" s="92">
        <v>7801</v>
      </c>
    </row>
    <row r="9" spans="1:20" ht="18.75">
      <c r="A9" s="7" t="s">
        <v>126</v>
      </c>
      <c r="B9" s="89">
        <v>417</v>
      </c>
      <c r="C9" s="6">
        <v>1724.4</v>
      </c>
      <c r="D9" s="110">
        <v>381.8</v>
      </c>
      <c r="E9" s="67">
        <v>607.5</v>
      </c>
      <c r="F9" s="64">
        <v>1419</v>
      </c>
      <c r="G9" s="64">
        <v>162.5</v>
      </c>
      <c r="H9" s="64"/>
      <c r="I9" s="64"/>
      <c r="J9" s="109">
        <v>239</v>
      </c>
      <c r="K9" s="42">
        <v>2113.4</v>
      </c>
      <c r="L9" s="123">
        <v>6647.6</v>
      </c>
      <c r="M9" s="42">
        <v>27.6</v>
      </c>
      <c r="N9" s="138">
        <v>2189</v>
      </c>
      <c r="O9" s="125">
        <v>203</v>
      </c>
      <c r="P9" s="109">
        <v>2392</v>
      </c>
      <c r="Q9" s="39">
        <v>15.941000000000001</v>
      </c>
      <c r="R9" s="39">
        <v>5.7362110311750598</v>
      </c>
      <c r="S9" s="128">
        <v>0.77439883410250188</v>
      </c>
      <c r="T9" s="92">
        <v>6675.2000000000007</v>
      </c>
    </row>
    <row r="10" spans="1:20" ht="18.75">
      <c r="A10" s="7" t="s">
        <v>131</v>
      </c>
      <c r="B10" s="89">
        <v>488</v>
      </c>
      <c r="C10" s="42">
        <v>1600.9</v>
      </c>
      <c r="D10" s="42">
        <v>354.5</v>
      </c>
      <c r="E10" s="67">
        <v>886.9</v>
      </c>
      <c r="F10" s="64">
        <v>2107.8000000000002</v>
      </c>
      <c r="G10" s="64">
        <v>361.4</v>
      </c>
      <c r="H10" s="64"/>
      <c r="I10" s="64"/>
      <c r="J10" s="109">
        <v>240</v>
      </c>
      <c r="K10" s="42">
        <v>2344.6</v>
      </c>
      <c r="L10" s="123">
        <v>7896.1</v>
      </c>
      <c r="M10" s="42">
        <v>78.7</v>
      </c>
      <c r="N10" s="138">
        <v>3356.1000000000004</v>
      </c>
      <c r="O10" s="125">
        <v>151</v>
      </c>
      <c r="P10" s="109">
        <v>3507.1000000000004</v>
      </c>
      <c r="Q10" s="155">
        <v>16.181000000000001</v>
      </c>
      <c r="R10" s="39">
        <v>7.1866803278688529</v>
      </c>
      <c r="S10" s="128">
        <v>0.78605780908428469</v>
      </c>
      <c r="T10" s="154">
        <v>7974.8</v>
      </c>
    </row>
    <row r="11" spans="1:20" ht="18.75">
      <c r="A11" s="7" t="s">
        <v>148</v>
      </c>
      <c r="B11" s="89">
        <v>446</v>
      </c>
      <c r="C11" s="42">
        <v>1522.7</v>
      </c>
      <c r="D11" s="42">
        <v>337.1</v>
      </c>
      <c r="E11" s="67">
        <v>895.9</v>
      </c>
      <c r="F11" s="64">
        <v>1783.8</v>
      </c>
      <c r="G11" s="64">
        <v>397.5</v>
      </c>
      <c r="H11" s="64"/>
      <c r="I11" s="64"/>
      <c r="J11" s="109">
        <v>219</v>
      </c>
      <c r="K11" s="42">
        <v>2332.7999999999997</v>
      </c>
      <c r="L11" s="123">
        <v>7488.8</v>
      </c>
      <c r="M11" s="42">
        <v>47.4</v>
      </c>
      <c r="N11" s="138">
        <v>3077.2</v>
      </c>
      <c r="O11" s="125">
        <v>169.1</v>
      </c>
      <c r="P11" s="109">
        <v>3246.2999999999997</v>
      </c>
      <c r="Q11" s="155">
        <v>16.791</v>
      </c>
      <c r="R11" s="39">
        <v>7.2786995515695061</v>
      </c>
      <c r="S11" s="128">
        <v>0.81569103716298275</v>
      </c>
      <c r="T11" s="154">
        <v>7536.2</v>
      </c>
    </row>
    <row r="12" spans="1:20" ht="18.75">
      <c r="A12" s="7" t="s">
        <v>149</v>
      </c>
      <c r="B12" s="89">
        <v>400</v>
      </c>
      <c r="C12" s="42">
        <v>1569.6</v>
      </c>
      <c r="D12" s="42">
        <v>347.5</v>
      </c>
      <c r="E12" s="67">
        <v>609</v>
      </c>
      <c r="F12" s="64">
        <v>1360</v>
      </c>
      <c r="G12" s="64">
        <v>355</v>
      </c>
      <c r="H12" s="64"/>
      <c r="I12" s="64"/>
      <c r="J12" s="109">
        <v>219</v>
      </c>
      <c r="K12" s="42">
        <v>1997.8999999999999</v>
      </c>
      <c r="L12" s="123">
        <v>6458</v>
      </c>
      <c r="M12" s="42">
        <v>55.2</v>
      </c>
      <c r="N12" s="138">
        <v>2324</v>
      </c>
      <c r="O12" s="125">
        <v>139.19999999999999</v>
      </c>
      <c r="P12" s="109">
        <v>2463.1999999999998</v>
      </c>
      <c r="Q12" s="155">
        <v>16.145</v>
      </c>
      <c r="R12" s="39">
        <v>6.1579999999999995</v>
      </c>
      <c r="S12" s="128">
        <v>0.78430896283701723</v>
      </c>
      <c r="T12" s="154">
        <v>6513.2</v>
      </c>
    </row>
    <row r="13" spans="1:20" ht="18.75">
      <c r="A13" s="7" t="s">
        <v>150</v>
      </c>
      <c r="B13" s="89">
        <v>448</v>
      </c>
      <c r="C13" s="42">
        <v>1577.4</v>
      </c>
      <c r="D13" s="42">
        <v>349.3</v>
      </c>
      <c r="E13" s="67">
        <v>1140.2</v>
      </c>
      <c r="F13" s="64">
        <v>1814.7</v>
      </c>
      <c r="G13" s="64">
        <v>247.2</v>
      </c>
      <c r="H13" s="64"/>
      <c r="I13" s="64"/>
      <c r="J13" s="109">
        <v>219</v>
      </c>
      <c r="K13" s="42">
        <v>2107.5</v>
      </c>
      <c r="L13" s="123">
        <v>7455.3</v>
      </c>
      <c r="M13" s="42">
        <v>39.6</v>
      </c>
      <c r="N13" s="138">
        <v>3202.1</v>
      </c>
      <c r="O13" s="125">
        <v>135.19999999999999</v>
      </c>
      <c r="P13" s="109">
        <v>3337.2999999999997</v>
      </c>
      <c r="Q13" s="155">
        <v>16.640999999999998</v>
      </c>
      <c r="R13" s="39">
        <v>7.4493303571428564</v>
      </c>
      <c r="S13" s="128">
        <v>0.80840417779936835</v>
      </c>
      <c r="T13" s="154">
        <v>7494.9000000000005</v>
      </c>
    </row>
    <row r="14" spans="1:20" ht="18.75">
      <c r="A14" s="7" t="s">
        <v>152</v>
      </c>
      <c r="B14" s="89">
        <v>444</v>
      </c>
      <c r="C14" s="42">
        <v>1569.6</v>
      </c>
      <c r="D14" s="42">
        <v>347.5</v>
      </c>
      <c r="E14" s="67">
        <v>653.70000000000005</v>
      </c>
      <c r="F14" s="64">
        <v>1589.8999999999999</v>
      </c>
      <c r="G14" s="64">
        <v>222</v>
      </c>
      <c r="H14" s="64"/>
      <c r="I14" s="64"/>
      <c r="J14" s="109">
        <v>219</v>
      </c>
      <c r="K14" s="42">
        <v>2277.8999999999996</v>
      </c>
      <c r="L14" s="123">
        <v>6879.6</v>
      </c>
      <c r="M14" s="42">
        <v>34.299999999999997</v>
      </c>
      <c r="N14" s="138">
        <v>2465.6</v>
      </c>
      <c r="O14" s="125">
        <v>170</v>
      </c>
      <c r="P14" s="109">
        <v>2635.6</v>
      </c>
      <c r="Q14" s="155">
        <v>15.494999999999999</v>
      </c>
      <c r="R14" s="39">
        <v>5.936036036036036</v>
      </c>
      <c r="S14" s="128">
        <v>0.75273257226135526</v>
      </c>
      <c r="T14" s="154">
        <v>6913.9000000000005</v>
      </c>
    </row>
    <row r="15" spans="1:20" ht="18.75">
      <c r="A15" s="122" t="s">
        <v>154</v>
      </c>
      <c r="B15" s="89">
        <v>411</v>
      </c>
      <c r="C15" s="42">
        <v>1116.2</v>
      </c>
      <c r="D15" s="42">
        <v>247.1</v>
      </c>
      <c r="E15" s="63">
        <v>684.4</v>
      </c>
      <c r="F15" s="63">
        <v>1127.5</v>
      </c>
      <c r="G15" s="63">
        <v>182.7</v>
      </c>
      <c r="H15" s="69"/>
      <c r="I15" s="69"/>
      <c r="J15" s="42">
        <v>199</v>
      </c>
      <c r="K15" s="42">
        <v>2027.3</v>
      </c>
      <c r="L15" s="123">
        <v>5584.2</v>
      </c>
      <c r="M15" s="6">
        <v>81.599999999999994</v>
      </c>
      <c r="N15" s="138">
        <v>1994.6000000000001</v>
      </c>
      <c r="O15" s="125">
        <v>152.9</v>
      </c>
      <c r="P15" s="109">
        <v>2147.5</v>
      </c>
      <c r="Q15" s="39">
        <v>13.587</v>
      </c>
      <c r="R15" s="39">
        <v>5.2250608272506085</v>
      </c>
      <c r="S15" s="128">
        <v>0.6600437211561816</v>
      </c>
      <c r="T15" s="92">
        <v>5665.8</v>
      </c>
    </row>
    <row r="16" spans="1:20" ht="18.75">
      <c r="A16" s="7" t="s">
        <v>162</v>
      </c>
      <c r="B16" s="89">
        <v>414</v>
      </c>
      <c r="C16" s="42">
        <v>1546.2</v>
      </c>
      <c r="D16" s="42">
        <v>342.3</v>
      </c>
      <c r="E16" s="63">
        <v>877.6</v>
      </c>
      <c r="F16" s="63">
        <v>2081.6</v>
      </c>
      <c r="G16" s="63">
        <v>344.7</v>
      </c>
      <c r="H16" s="69"/>
      <c r="I16" s="69"/>
      <c r="J16" s="6">
        <v>219</v>
      </c>
      <c r="K16" s="42">
        <v>1946.9</v>
      </c>
      <c r="L16" s="123">
        <v>7358.3</v>
      </c>
      <c r="M16" s="6">
        <v>76.7</v>
      </c>
      <c r="N16" s="138">
        <v>3303.8999999999996</v>
      </c>
      <c r="O16" s="125">
        <v>118.6</v>
      </c>
      <c r="P16" s="109">
        <v>3422.4999999999995</v>
      </c>
      <c r="Q16" s="155">
        <v>17.774000000000001</v>
      </c>
      <c r="R16" s="39">
        <v>8.2669082125603861</v>
      </c>
      <c r="S16" s="128">
        <v>0.86344425552586834</v>
      </c>
      <c r="T16" s="154">
        <v>7435</v>
      </c>
    </row>
    <row r="17" spans="1:20" ht="18.75">
      <c r="A17" s="122" t="s">
        <v>157</v>
      </c>
      <c r="B17" s="89">
        <v>401</v>
      </c>
      <c r="C17" s="42">
        <v>1378.5</v>
      </c>
      <c r="D17" s="42">
        <v>295.3</v>
      </c>
      <c r="E17" s="63">
        <v>802.3</v>
      </c>
      <c r="F17" s="63">
        <v>1105.7</v>
      </c>
      <c r="G17" s="63">
        <v>134.69999999999999</v>
      </c>
      <c r="H17" s="69"/>
      <c r="I17" s="69"/>
      <c r="J17" s="42">
        <v>208</v>
      </c>
      <c r="K17" s="42">
        <v>1607</v>
      </c>
      <c r="L17" s="123">
        <v>5531.5</v>
      </c>
      <c r="M17" s="6">
        <v>210</v>
      </c>
      <c r="N17" s="138">
        <v>2042.7</v>
      </c>
      <c r="O17" s="125">
        <v>152.9</v>
      </c>
      <c r="P17" s="109">
        <v>2195.6</v>
      </c>
      <c r="Q17" s="39">
        <v>13.794</v>
      </c>
      <c r="R17" s="39">
        <v>5.4753117206982544</v>
      </c>
      <c r="S17" s="128">
        <v>0.67009958707796935</v>
      </c>
      <c r="T17" s="92">
        <v>5741.5</v>
      </c>
    </row>
    <row r="19" spans="1:20">
      <c r="A19" s="161" t="s">
        <v>325</v>
      </c>
    </row>
    <row r="20" spans="1:20" ht="18.75">
      <c r="A20" s="120">
        <v>80</v>
      </c>
      <c r="B20" s="106">
        <v>360</v>
      </c>
      <c r="C20" s="52">
        <v>1529</v>
      </c>
      <c r="D20" s="52">
        <v>338.5</v>
      </c>
      <c r="E20" s="65">
        <v>665.2</v>
      </c>
      <c r="F20" s="65">
        <v>1459.3</v>
      </c>
      <c r="G20" s="65">
        <v>112</v>
      </c>
      <c r="H20" s="66"/>
      <c r="I20" s="66"/>
      <c r="J20" s="90">
        <v>239</v>
      </c>
      <c r="K20" s="107">
        <v>1841.2</v>
      </c>
      <c r="L20" s="123">
        <v>6184.2</v>
      </c>
      <c r="M20" s="42">
        <v>30.7</v>
      </c>
      <c r="N20" s="138">
        <v>2236.5</v>
      </c>
      <c r="O20" s="125">
        <v>186</v>
      </c>
      <c r="P20" s="109">
        <v>2422.5</v>
      </c>
      <c r="Q20" s="39">
        <v>17.178000000000001</v>
      </c>
      <c r="R20" s="39">
        <v>6.729166666666667</v>
      </c>
      <c r="S20" s="128">
        <v>0.83449113432110755</v>
      </c>
      <c r="T20" s="92">
        <v>6214.9</v>
      </c>
    </row>
    <row r="21" spans="1:20" ht="18.75">
      <c r="A21" s="120">
        <v>214</v>
      </c>
      <c r="B21" s="106">
        <v>359</v>
      </c>
      <c r="C21" s="52">
        <v>1116.2</v>
      </c>
      <c r="D21" s="52">
        <v>247.1</v>
      </c>
      <c r="E21" s="65">
        <v>499.3</v>
      </c>
      <c r="F21" s="65">
        <v>1447.3</v>
      </c>
      <c r="G21" s="65">
        <v>148.5</v>
      </c>
      <c r="H21" s="66"/>
      <c r="I21" s="66"/>
      <c r="J21" s="96">
        <v>199</v>
      </c>
      <c r="K21" s="97">
        <v>1868.5</v>
      </c>
      <c r="L21" s="123">
        <v>5525.9</v>
      </c>
      <c r="M21" s="42">
        <v>65.7</v>
      </c>
      <c r="N21" s="138">
        <v>2095.1</v>
      </c>
      <c r="O21" s="125">
        <v>150.69999999999999</v>
      </c>
      <c r="P21" s="109">
        <v>2245.7999999999997</v>
      </c>
      <c r="Q21" s="39">
        <v>15.391999999999999</v>
      </c>
      <c r="R21" s="39">
        <v>6.2557103064066846</v>
      </c>
      <c r="S21" s="128">
        <v>0.74772892883167352</v>
      </c>
      <c r="T21" s="92">
        <v>5591.5999999999995</v>
      </c>
    </row>
    <row r="22" spans="1:20" ht="18.75">
      <c r="A22" s="7" t="s">
        <v>130</v>
      </c>
      <c r="B22" s="89">
        <v>358</v>
      </c>
      <c r="C22" s="42">
        <v>1358.6</v>
      </c>
      <c r="D22" s="42">
        <v>300.8</v>
      </c>
      <c r="E22" s="67">
        <v>609</v>
      </c>
      <c r="F22" s="64">
        <v>1271</v>
      </c>
      <c r="G22" s="64">
        <v>182.4</v>
      </c>
      <c r="H22" s="64"/>
      <c r="I22" s="64"/>
      <c r="J22" s="109">
        <v>199</v>
      </c>
      <c r="K22" s="42">
        <v>1700.1000000000001</v>
      </c>
      <c r="L22" s="123">
        <v>5620.9</v>
      </c>
      <c r="M22" s="42">
        <v>50</v>
      </c>
      <c r="N22" s="138">
        <v>2062.4</v>
      </c>
      <c r="O22" s="125">
        <v>124.4</v>
      </c>
      <c r="P22" s="109">
        <v>2186.8000000000002</v>
      </c>
      <c r="Q22" s="39">
        <v>15.701000000000001</v>
      </c>
      <c r="R22" s="39">
        <v>6.108379888268157</v>
      </c>
      <c r="S22" s="128">
        <v>0.76273985912071895</v>
      </c>
      <c r="T22" s="92">
        <v>5670.9</v>
      </c>
    </row>
    <row r="23" spans="1:20" ht="18.75">
      <c r="A23" s="7" t="s">
        <v>132</v>
      </c>
      <c r="B23" s="89">
        <v>365</v>
      </c>
      <c r="C23" s="42">
        <v>1311.7</v>
      </c>
      <c r="D23" s="42">
        <v>290.39999999999998</v>
      </c>
      <c r="E23" s="67">
        <v>492.8</v>
      </c>
      <c r="F23" s="64">
        <v>1077.4000000000001</v>
      </c>
      <c r="G23" s="64">
        <v>231.9</v>
      </c>
      <c r="H23" s="64"/>
      <c r="I23" s="64"/>
      <c r="J23" s="109">
        <v>199</v>
      </c>
      <c r="K23" s="42">
        <v>1852.8999999999999</v>
      </c>
      <c r="L23" s="123">
        <v>5456.1</v>
      </c>
      <c r="M23" s="42">
        <v>52.1</v>
      </c>
      <c r="N23" s="138">
        <v>1802.1000000000001</v>
      </c>
      <c r="O23" s="125">
        <v>111.7</v>
      </c>
      <c r="P23" s="109">
        <v>1913.8000000000002</v>
      </c>
      <c r="Q23" s="39">
        <v>14.948</v>
      </c>
      <c r="R23" s="39">
        <v>5.2432876712328769</v>
      </c>
      <c r="S23" s="128">
        <v>0.72615982511537525</v>
      </c>
      <c r="T23" s="92">
        <v>5508.2000000000007</v>
      </c>
    </row>
    <row r="24" spans="1:20" ht="18.75">
      <c r="A24" s="7" t="s">
        <v>133</v>
      </c>
      <c r="B24" s="89">
        <v>393</v>
      </c>
      <c r="C24" s="42">
        <v>1288.2</v>
      </c>
      <c r="D24" s="42">
        <v>285.2</v>
      </c>
      <c r="E24" s="67">
        <v>583.5</v>
      </c>
      <c r="F24" s="64">
        <v>1358.1</v>
      </c>
      <c r="G24" s="64">
        <v>184.3</v>
      </c>
      <c r="H24" s="64"/>
      <c r="I24" s="64"/>
      <c r="J24" s="109">
        <v>199</v>
      </c>
      <c r="K24" s="42">
        <v>1817.8</v>
      </c>
      <c r="L24" s="123">
        <v>5716.1</v>
      </c>
      <c r="M24" s="42">
        <v>63.5</v>
      </c>
      <c r="N24" s="138">
        <v>2125.9</v>
      </c>
      <c r="O24" s="125">
        <v>138.9</v>
      </c>
      <c r="P24" s="109">
        <v>2264.8000000000002</v>
      </c>
      <c r="Q24" s="39">
        <v>14.545</v>
      </c>
      <c r="R24" s="39">
        <v>5.7628498727735371</v>
      </c>
      <c r="S24" s="128">
        <v>0.70658246295846483</v>
      </c>
      <c r="T24" s="92">
        <v>5779.6</v>
      </c>
    </row>
    <row r="25" spans="1:20" ht="18.75">
      <c r="A25" s="120">
        <v>94</v>
      </c>
      <c r="B25" s="106">
        <v>381</v>
      </c>
      <c r="C25" s="42">
        <v>1546.2</v>
      </c>
      <c r="D25" s="42">
        <v>342.3</v>
      </c>
      <c r="E25" s="68">
        <v>687.7</v>
      </c>
      <c r="F25" s="66">
        <v>1854.7</v>
      </c>
      <c r="G25" s="66">
        <v>315.10000000000002</v>
      </c>
      <c r="H25" s="66"/>
      <c r="I25" s="66"/>
      <c r="J25" s="98">
        <v>219</v>
      </c>
      <c r="K25" s="44">
        <v>1921.6000000000001</v>
      </c>
      <c r="L25" s="123">
        <v>6886.6</v>
      </c>
      <c r="M25" s="42">
        <v>86.6</v>
      </c>
      <c r="N25" s="138">
        <v>2857.5</v>
      </c>
      <c r="O25" s="125">
        <v>154</v>
      </c>
      <c r="P25" s="109">
        <v>3011.5</v>
      </c>
      <c r="Q25" s="155">
        <v>18.074999999999999</v>
      </c>
      <c r="R25" s="39">
        <v>7.9041994750656164</v>
      </c>
      <c r="S25" s="128">
        <v>0.87806655331552097</v>
      </c>
      <c r="T25" s="154">
        <v>6973.2000000000007</v>
      </c>
    </row>
    <row r="26" spans="1:20" ht="18.75">
      <c r="A26" s="7" t="s">
        <v>137</v>
      </c>
      <c r="B26" s="89">
        <v>353</v>
      </c>
      <c r="C26" s="62">
        <v>1335.1</v>
      </c>
      <c r="D26" s="42">
        <v>295.60000000000002</v>
      </c>
      <c r="E26" s="67">
        <v>545.70000000000005</v>
      </c>
      <c r="F26" s="64">
        <v>1290.9000000000001</v>
      </c>
      <c r="G26" s="64">
        <v>220</v>
      </c>
      <c r="H26" s="64"/>
      <c r="I26" s="64"/>
      <c r="J26" s="109">
        <v>199</v>
      </c>
      <c r="K26" s="42">
        <v>1662.8</v>
      </c>
      <c r="L26" s="123">
        <v>5549.1</v>
      </c>
      <c r="M26" s="42">
        <v>201.9</v>
      </c>
      <c r="N26" s="138">
        <v>2056.6000000000004</v>
      </c>
      <c r="O26" s="125">
        <v>120.5</v>
      </c>
      <c r="P26" s="109">
        <v>2177.1000000000004</v>
      </c>
      <c r="Q26" s="39">
        <v>15.72</v>
      </c>
      <c r="R26" s="39">
        <v>6.1674220963172814</v>
      </c>
      <c r="S26" s="128">
        <v>0.76366286130677674</v>
      </c>
      <c r="T26" s="92">
        <v>5751</v>
      </c>
    </row>
    <row r="27" spans="1:20" ht="18.75">
      <c r="A27" s="7" t="s">
        <v>139</v>
      </c>
      <c r="B27" s="89">
        <v>399</v>
      </c>
      <c r="C27" s="62">
        <v>1358.6</v>
      </c>
      <c r="D27" s="42">
        <v>300.8</v>
      </c>
      <c r="E27" s="67">
        <v>589.4</v>
      </c>
      <c r="F27" s="64">
        <v>1468.6</v>
      </c>
      <c r="G27" s="64">
        <v>183.9</v>
      </c>
      <c r="H27" s="64"/>
      <c r="I27" s="64"/>
      <c r="J27" s="109">
        <v>199</v>
      </c>
      <c r="K27" s="42">
        <v>1747.1999999999998</v>
      </c>
      <c r="L27" s="123">
        <v>5847.5</v>
      </c>
      <c r="M27" s="42">
        <v>44.9</v>
      </c>
      <c r="N27" s="138">
        <v>2241.9</v>
      </c>
      <c r="O27" s="125">
        <v>118.3</v>
      </c>
      <c r="P27" s="109">
        <v>2360.2000000000003</v>
      </c>
      <c r="Q27" s="39">
        <v>14.654999999999999</v>
      </c>
      <c r="R27" s="39">
        <v>5.9152882205513793</v>
      </c>
      <c r="S27" s="128">
        <v>0.71192615982511531</v>
      </c>
      <c r="T27" s="92">
        <v>5892.4</v>
      </c>
    </row>
    <row r="28" spans="1:20" ht="18.75">
      <c r="A28" s="7" t="s">
        <v>141</v>
      </c>
      <c r="B28" s="89">
        <v>374</v>
      </c>
      <c r="C28" s="62">
        <v>1358.6</v>
      </c>
      <c r="D28" s="42">
        <v>300.8</v>
      </c>
      <c r="E28" s="67">
        <v>517.29999999999995</v>
      </c>
      <c r="F28" s="64">
        <v>1377.6</v>
      </c>
      <c r="G28" s="64">
        <v>160.9</v>
      </c>
      <c r="H28" s="64"/>
      <c r="I28" s="64"/>
      <c r="J28" s="109">
        <v>199</v>
      </c>
      <c r="K28" s="42">
        <v>1715.8000000000002</v>
      </c>
      <c r="L28" s="123">
        <v>5630</v>
      </c>
      <c r="M28" s="42">
        <v>53</v>
      </c>
      <c r="N28" s="138">
        <v>2055.7999999999997</v>
      </c>
      <c r="O28" s="125">
        <v>134.9</v>
      </c>
      <c r="P28" s="109">
        <v>2190.6999999999998</v>
      </c>
      <c r="Q28" s="39">
        <v>15.053000000000001</v>
      </c>
      <c r="R28" s="39">
        <v>5.8574866310160427</v>
      </c>
      <c r="S28" s="128">
        <v>0.73126062666990532</v>
      </c>
      <c r="T28" s="92">
        <v>5683</v>
      </c>
    </row>
    <row r="29" spans="1:20" ht="18.75">
      <c r="A29" s="7" t="s">
        <v>143</v>
      </c>
      <c r="B29" s="89">
        <v>390</v>
      </c>
      <c r="C29" s="62">
        <v>1499.3</v>
      </c>
      <c r="D29" s="42">
        <v>332</v>
      </c>
      <c r="E29" s="67">
        <v>780.3</v>
      </c>
      <c r="F29" s="64">
        <v>1536.8</v>
      </c>
      <c r="G29" s="64">
        <v>185.9</v>
      </c>
      <c r="H29" s="64"/>
      <c r="I29" s="64"/>
      <c r="J29" s="109">
        <v>219</v>
      </c>
      <c r="K29" s="42">
        <v>1999.8</v>
      </c>
      <c r="L29" s="123">
        <v>6553.1</v>
      </c>
      <c r="M29" s="42">
        <v>49.3</v>
      </c>
      <c r="N29" s="138">
        <v>2503</v>
      </c>
      <c r="O29" s="125">
        <v>134.69999999999999</v>
      </c>
      <c r="P29" s="109">
        <v>2637.7</v>
      </c>
      <c r="Q29" s="155">
        <v>16.803000000000001</v>
      </c>
      <c r="R29" s="39">
        <v>6.7633333333333328</v>
      </c>
      <c r="S29" s="128">
        <v>0.8162739859120719</v>
      </c>
      <c r="T29" s="154">
        <v>6602.4000000000005</v>
      </c>
    </row>
    <row r="30" spans="1:20" ht="18.75">
      <c r="A30" s="7" t="s">
        <v>145</v>
      </c>
      <c r="B30" s="89">
        <v>380</v>
      </c>
      <c r="C30" s="42">
        <v>1546.2</v>
      </c>
      <c r="D30" s="42">
        <v>342.3</v>
      </c>
      <c r="E30" s="67">
        <v>635.29999999999995</v>
      </c>
      <c r="F30" s="64">
        <v>1411.9</v>
      </c>
      <c r="G30" s="64">
        <v>226.6</v>
      </c>
      <c r="H30" s="64"/>
      <c r="I30" s="64"/>
      <c r="J30" s="109">
        <v>219</v>
      </c>
      <c r="K30" s="42">
        <v>1856.8</v>
      </c>
      <c r="L30" s="123">
        <v>6238.1</v>
      </c>
      <c r="M30" s="42">
        <v>49.2</v>
      </c>
      <c r="N30" s="138">
        <v>2273.8000000000002</v>
      </c>
      <c r="O30" s="125">
        <v>132.6</v>
      </c>
      <c r="P30" s="109">
        <v>2406.4</v>
      </c>
      <c r="Q30" s="155">
        <v>16.416</v>
      </c>
      <c r="R30" s="39">
        <v>6.3326315789473684</v>
      </c>
      <c r="S30" s="128">
        <v>0.79747388875394698</v>
      </c>
      <c r="T30" s="154">
        <v>6287.3</v>
      </c>
    </row>
    <row r="31" spans="1:20" ht="18.75">
      <c r="A31" s="7" t="s">
        <v>147</v>
      </c>
      <c r="B31" s="89">
        <v>367</v>
      </c>
      <c r="C31" s="42">
        <v>1475.8</v>
      </c>
      <c r="D31" s="42">
        <v>326.8</v>
      </c>
      <c r="E31" s="67">
        <v>615.6</v>
      </c>
      <c r="F31" s="64">
        <v>1796.2</v>
      </c>
      <c r="G31" s="64">
        <v>303.89999999999998</v>
      </c>
      <c r="H31" s="64"/>
      <c r="I31" s="64"/>
      <c r="J31" s="109">
        <v>207</v>
      </c>
      <c r="K31" s="42">
        <v>1570.9</v>
      </c>
      <c r="L31" s="123">
        <v>6296.2</v>
      </c>
      <c r="M31" s="42">
        <v>118</v>
      </c>
      <c r="N31" s="138">
        <v>2715.7000000000003</v>
      </c>
      <c r="O31" s="125">
        <v>171.3</v>
      </c>
      <c r="P31" s="109">
        <v>2887.0000000000005</v>
      </c>
      <c r="Q31" s="155">
        <v>17.155999999999999</v>
      </c>
      <c r="R31" s="39">
        <v>7.8664850136239792</v>
      </c>
      <c r="S31" s="128">
        <v>0.83342239494777737</v>
      </c>
      <c r="T31" s="154">
        <v>6414.2</v>
      </c>
    </row>
    <row r="32" spans="1:20" ht="18.75">
      <c r="A32" s="7" t="s">
        <v>151</v>
      </c>
      <c r="B32" s="89">
        <v>366</v>
      </c>
      <c r="C32" s="42">
        <v>1358.6</v>
      </c>
      <c r="D32" s="42">
        <v>300.8</v>
      </c>
      <c r="E32" s="67">
        <v>540.29999999999995</v>
      </c>
      <c r="F32" s="64">
        <v>1313.1</v>
      </c>
      <c r="G32" s="64">
        <v>189.4</v>
      </c>
      <c r="H32" s="64"/>
      <c r="I32" s="64"/>
      <c r="J32" s="109">
        <v>199</v>
      </c>
      <c r="K32" s="42">
        <v>1986.1000000000001</v>
      </c>
      <c r="L32" s="123">
        <v>5887.3</v>
      </c>
      <c r="M32" s="42">
        <v>33.4</v>
      </c>
      <c r="N32" s="138">
        <v>2042.8</v>
      </c>
      <c r="O32" s="125">
        <v>135.4</v>
      </c>
      <c r="P32" s="109">
        <v>2178.1999999999998</v>
      </c>
      <c r="Q32" s="39">
        <v>16.085999999999999</v>
      </c>
      <c r="R32" s="39">
        <v>5.9513661202185784</v>
      </c>
      <c r="S32" s="128">
        <v>0.78144279815399553</v>
      </c>
      <c r="T32" s="92">
        <v>5920.7</v>
      </c>
    </row>
    <row r="33" spans="1:22" ht="18.75">
      <c r="A33" s="7" t="s">
        <v>153</v>
      </c>
      <c r="B33" s="89">
        <v>370</v>
      </c>
      <c r="C33" s="42">
        <v>1288.2</v>
      </c>
      <c r="D33" s="42">
        <v>285.2</v>
      </c>
      <c r="E33" s="67">
        <v>772.7</v>
      </c>
      <c r="F33" s="64">
        <v>1382.1</v>
      </c>
      <c r="G33" s="64">
        <v>211.7</v>
      </c>
      <c r="H33" s="64"/>
      <c r="I33" s="64"/>
      <c r="J33" s="109">
        <v>199</v>
      </c>
      <c r="K33" s="42">
        <v>1635.5</v>
      </c>
      <c r="L33" s="123">
        <v>5774.4</v>
      </c>
      <c r="M33" s="42">
        <v>39.4</v>
      </c>
      <c r="N33" s="138">
        <v>2366.5</v>
      </c>
      <c r="O33" s="125">
        <v>136</v>
      </c>
      <c r="P33" s="109">
        <v>2502.5</v>
      </c>
      <c r="Q33" s="39">
        <v>15.606</v>
      </c>
      <c r="R33" s="39">
        <v>6.7635135135135132</v>
      </c>
      <c r="S33" s="128">
        <v>0.75812484819042991</v>
      </c>
      <c r="T33" s="92">
        <v>5813.7999999999993</v>
      </c>
    </row>
    <row r="34" spans="1:22" ht="18.75">
      <c r="A34" s="122" t="s">
        <v>161</v>
      </c>
      <c r="B34" s="89">
        <v>372</v>
      </c>
      <c r="C34" s="42">
        <v>1288.7</v>
      </c>
      <c r="D34" s="42">
        <v>285.3</v>
      </c>
      <c r="E34" s="63">
        <v>749.9</v>
      </c>
      <c r="F34" s="63">
        <v>1153</v>
      </c>
      <c r="G34" s="63">
        <v>203.2</v>
      </c>
      <c r="H34" s="69"/>
      <c r="I34" s="69"/>
      <c r="J34" s="42">
        <v>199</v>
      </c>
      <c r="K34" s="42">
        <v>2007.5</v>
      </c>
      <c r="L34" s="123">
        <v>5886.6</v>
      </c>
      <c r="M34" s="6">
        <v>907.8</v>
      </c>
      <c r="N34" s="138">
        <v>2106.1</v>
      </c>
      <c r="O34" s="125">
        <v>129.19999999999999</v>
      </c>
      <c r="P34" s="109">
        <v>2235.2999999999997</v>
      </c>
      <c r="Q34" s="39">
        <v>15.824</v>
      </c>
      <c r="R34" s="39">
        <v>6.0088709677419345</v>
      </c>
      <c r="S34" s="128">
        <v>0.76871508379888265</v>
      </c>
      <c r="T34" s="92">
        <v>6794.4000000000005</v>
      </c>
    </row>
    <row r="36" spans="1:22">
      <c r="A36" s="160" t="s">
        <v>326</v>
      </c>
    </row>
    <row r="37" spans="1:22" ht="18.75">
      <c r="A37" s="7" t="s">
        <v>75</v>
      </c>
      <c r="B37" s="89">
        <v>308</v>
      </c>
      <c r="C37" s="51">
        <v>1482.1</v>
      </c>
      <c r="D37" s="51">
        <v>328.2</v>
      </c>
      <c r="E37" s="63">
        <v>537.1</v>
      </c>
      <c r="F37" s="63">
        <v>1313.8</v>
      </c>
      <c r="G37" s="63">
        <v>120.4</v>
      </c>
      <c r="H37" s="64"/>
      <c r="I37" s="64"/>
      <c r="J37" s="108">
        <v>217</v>
      </c>
      <c r="K37" s="6">
        <v>1474.9</v>
      </c>
      <c r="L37" s="123">
        <v>5473.5</v>
      </c>
      <c r="M37" s="42">
        <v>68.5</v>
      </c>
      <c r="N37" s="138">
        <v>1971.3000000000002</v>
      </c>
      <c r="O37" s="125">
        <v>153.4</v>
      </c>
      <c r="P37" s="109">
        <v>2124.7000000000003</v>
      </c>
      <c r="Q37" s="39">
        <v>17.771000000000001</v>
      </c>
      <c r="R37" s="39">
        <v>6.8983766233766239</v>
      </c>
      <c r="S37" s="128">
        <v>0.86329851833859605</v>
      </c>
      <c r="T37" s="92">
        <v>5542</v>
      </c>
    </row>
    <row r="38" spans="1:22" ht="18.75">
      <c r="A38" s="120">
        <v>16</v>
      </c>
      <c r="B38" s="106">
        <v>327</v>
      </c>
      <c r="C38" s="42">
        <v>1171</v>
      </c>
      <c r="D38" s="42">
        <v>259.3</v>
      </c>
      <c r="E38" s="68">
        <v>505.5</v>
      </c>
      <c r="F38" s="66">
        <v>1306.5</v>
      </c>
      <c r="G38" s="66">
        <v>119.7</v>
      </c>
      <c r="H38" s="66"/>
      <c r="I38" s="66"/>
      <c r="J38" s="98">
        <v>177</v>
      </c>
      <c r="K38" s="44">
        <v>1788.3</v>
      </c>
      <c r="L38" s="123">
        <v>5327.3</v>
      </c>
      <c r="M38" s="42">
        <v>57.4</v>
      </c>
      <c r="N38" s="138">
        <v>1931.7</v>
      </c>
      <c r="O38" s="125">
        <v>148.5</v>
      </c>
      <c r="P38" s="109">
        <v>2080.1999999999998</v>
      </c>
      <c r="Q38" s="39">
        <v>16.291</v>
      </c>
      <c r="R38" s="39">
        <v>6.3614678899082566</v>
      </c>
      <c r="S38" s="164">
        <v>0.79140150595093517</v>
      </c>
      <c r="T38" s="92">
        <v>5384.7</v>
      </c>
    </row>
    <row r="39" spans="1:22" ht="18.75">
      <c r="A39" s="7" t="s">
        <v>136</v>
      </c>
      <c r="B39" s="89">
        <v>325</v>
      </c>
      <c r="C39" s="62">
        <v>1256.9000000000001</v>
      </c>
      <c r="D39" s="42">
        <v>278.3</v>
      </c>
      <c r="E39" s="67">
        <v>406</v>
      </c>
      <c r="F39" s="64">
        <v>835.80000000000007</v>
      </c>
      <c r="G39" s="64">
        <v>105.9</v>
      </c>
      <c r="H39" s="64"/>
      <c r="I39" s="64"/>
      <c r="J39" s="109">
        <v>177</v>
      </c>
      <c r="K39" s="42">
        <v>1429.8999999999999</v>
      </c>
      <c r="L39" s="123">
        <v>4489.8</v>
      </c>
      <c r="M39" s="42">
        <v>57.3</v>
      </c>
      <c r="N39" s="138">
        <v>1347.7000000000003</v>
      </c>
      <c r="O39" s="125">
        <v>96.2</v>
      </c>
      <c r="P39" s="109">
        <v>1443.9000000000003</v>
      </c>
      <c r="Q39" s="39">
        <v>13.815</v>
      </c>
      <c r="R39" s="39">
        <v>4.4427692307692315</v>
      </c>
      <c r="S39" s="128">
        <v>0.67111974738887537</v>
      </c>
      <c r="T39" s="92">
        <v>4547.1000000000004</v>
      </c>
    </row>
    <row r="40" spans="1:22" ht="18.75">
      <c r="A40" s="7" t="s">
        <v>144</v>
      </c>
      <c r="B40" s="89">
        <v>312</v>
      </c>
      <c r="C40" s="42">
        <v>1669.7</v>
      </c>
      <c r="D40" s="42">
        <v>369.7</v>
      </c>
      <c r="E40" s="67">
        <v>1105.9000000000001</v>
      </c>
      <c r="F40" s="64">
        <v>815.3</v>
      </c>
      <c r="G40" s="64">
        <v>143.6</v>
      </c>
      <c r="H40" s="64"/>
      <c r="I40" s="64"/>
      <c r="J40" s="109">
        <v>217</v>
      </c>
      <c r="K40" s="42">
        <v>1563.1000000000001</v>
      </c>
      <c r="L40" s="123">
        <v>5884.3</v>
      </c>
      <c r="M40" s="42">
        <v>70.7</v>
      </c>
      <c r="N40" s="138">
        <v>2064.8000000000002</v>
      </c>
      <c r="O40" s="125">
        <v>163.6</v>
      </c>
      <c r="P40" s="109">
        <v>2228.4</v>
      </c>
      <c r="Q40" s="39">
        <v>18.86</v>
      </c>
      <c r="R40" s="39">
        <v>7.1423076923076927</v>
      </c>
      <c r="S40" s="128">
        <v>0.91620111731843568</v>
      </c>
      <c r="T40" s="92">
        <v>5955</v>
      </c>
    </row>
    <row r="41" spans="1:22" ht="18.75">
      <c r="A41" s="120">
        <v>209</v>
      </c>
      <c r="B41" s="106">
        <v>317</v>
      </c>
      <c r="C41" s="42">
        <v>1546.2</v>
      </c>
      <c r="D41" s="42">
        <v>342.3</v>
      </c>
      <c r="E41" s="68">
        <v>813.1</v>
      </c>
      <c r="F41" s="66">
        <v>1818.3</v>
      </c>
      <c r="G41" s="66">
        <v>227.7</v>
      </c>
      <c r="H41" s="66"/>
      <c r="I41" s="66"/>
      <c r="J41" s="98">
        <v>219</v>
      </c>
      <c r="K41" s="44">
        <v>1933.3</v>
      </c>
      <c r="L41" s="123">
        <v>6899.9</v>
      </c>
      <c r="M41" s="42">
        <v>57.5</v>
      </c>
      <c r="N41" s="138">
        <v>2859.1</v>
      </c>
      <c r="O41" s="125">
        <v>163.1</v>
      </c>
      <c r="P41" s="109">
        <v>3022.2</v>
      </c>
      <c r="Q41" s="155">
        <v>21.765999999999998</v>
      </c>
      <c r="R41" s="39">
        <v>9.5337539432176648</v>
      </c>
      <c r="S41" s="157">
        <v>1.0573718727228563</v>
      </c>
      <c r="T41" s="154">
        <v>6957.4</v>
      </c>
      <c r="V41" t="s">
        <v>339</v>
      </c>
    </row>
    <row r="42" spans="1:22" ht="18.75">
      <c r="A42" s="7" t="s">
        <v>266</v>
      </c>
      <c r="B42" s="89">
        <v>333</v>
      </c>
      <c r="C42" s="6">
        <v>1335.1</v>
      </c>
      <c r="D42" s="110">
        <v>295.60000000000002</v>
      </c>
      <c r="E42" s="67">
        <v>556.70000000000005</v>
      </c>
      <c r="F42" s="64">
        <v>68</v>
      </c>
      <c r="G42" s="64">
        <v>187.6</v>
      </c>
      <c r="H42" s="64">
        <v>367.7</v>
      </c>
      <c r="I42" s="64"/>
      <c r="J42" s="109">
        <v>187</v>
      </c>
      <c r="K42" s="42">
        <v>1429.8</v>
      </c>
      <c r="L42" s="123">
        <v>4427.5</v>
      </c>
      <c r="M42" s="42">
        <v>31.6</v>
      </c>
      <c r="N42" s="138">
        <v>1180</v>
      </c>
      <c r="O42" s="125">
        <v>110.5</v>
      </c>
      <c r="P42" s="109">
        <v>1290.5</v>
      </c>
      <c r="Q42" s="39">
        <v>13.295999999999999</v>
      </c>
      <c r="R42" s="39">
        <v>3.8753753753753752</v>
      </c>
      <c r="S42" s="128">
        <v>0.64590721399076989</v>
      </c>
      <c r="T42" s="92">
        <v>4459.1000000000004</v>
      </c>
    </row>
    <row r="43" spans="1:22" ht="18.75">
      <c r="A43" s="122" t="s">
        <v>155</v>
      </c>
      <c r="B43" s="89">
        <v>348</v>
      </c>
      <c r="C43" s="42">
        <v>1092.8</v>
      </c>
      <c r="D43" s="42">
        <v>242</v>
      </c>
      <c r="E43" s="63">
        <v>458.4</v>
      </c>
      <c r="F43" s="63">
        <v>950</v>
      </c>
      <c r="G43" s="63">
        <v>112.1</v>
      </c>
      <c r="H43" s="69"/>
      <c r="I43" s="69"/>
      <c r="J43" s="42">
        <v>177</v>
      </c>
      <c r="K43" s="42">
        <v>1970.4</v>
      </c>
      <c r="L43" s="123">
        <v>5002.7</v>
      </c>
      <c r="M43" s="6">
        <v>85.4</v>
      </c>
      <c r="N43" s="138">
        <v>1520.5</v>
      </c>
      <c r="O43" s="125">
        <v>123.2</v>
      </c>
      <c r="P43" s="109">
        <v>1643.7</v>
      </c>
      <c r="Q43" s="39">
        <v>14.375999999999999</v>
      </c>
      <c r="R43" s="39">
        <v>4.7232758620689657</v>
      </c>
      <c r="S43" s="128">
        <v>0.69837260140879276</v>
      </c>
      <c r="T43" s="92">
        <v>5088.0999999999995</v>
      </c>
    </row>
    <row r="44" spans="1:22" ht="18.75">
      <c r="A44" s="120">
        <v>186</v>
      </c>
      <c r="B44" s="106">
        <v>348</v>
      </c>
      <c r="C44" s="44">
        <v>1186.5999999999999</v>
      </c>
      <c r="D44" s="44">
        <v>262.7</v>
      </c>
      <c r="E44" s="65">
        <v>1008.5</v>
      </c>
      <c r="F44" s="65">
        <v>2257</v>
      </c>
      <c r="G44" s="65">
        <v>162.9</v>
      </c>
      <c r="H44" s="70"/>
      <c r="I44" s="70"/>
      <c r="J44" s="44">
        <v>295</v>
      </c>
      <c r="K44" s="44">
        <v>1931</v>
      </c>
      <c r="L44" s="123">
        <v>7103.7</v>
      </c>
      <c r="M44" s="97">
        <v>252.5</v>
      </c>
      <c r="N44" s="138">
        <v>3428.4</v>
      </c>
      <c r="O44" s="125">
        <v>174.5</v>
      </c>
      <c r="P44" s="109">
        <v>3602.9</v>
      </c>
      <c r="Q44" s="155">
        <v>20.413</v>
      </c>
      <c r="R44" s="39">
        <v>10.35316091954023</v>
      </c>
      <c r="S44" s="164">
        <v>0.99164440126305564</v>
      </c>
      <c r="T44" s="154">
        <v>7356.2</v>
      </c>
    </row>
    <row r="45" spans="1:22">
      <c r="A45" s="228" t="s">
        <v>328</v>
      </c>
      <c r="B45" s="229"/>
      <c r="C45" s="229"/>
      <c r="D45" s="229"/>
      <c r="E45" s="229"/>
      <c r="F45" s="229"/>
      <c r="G45" s="229"/>
      <c r="H45" s="229"/>
      <c r="I45" s="229"/>
      <c r="J45" s="229"/>
      <c r="K45" s="229"/>
      <c r="L45" s="229"/>
      <c r="M45" s="229"/>
      <c r="N45" s="229"/>
      <c r="O45" s="229"/>
      <c r="P45" s="229"/>
      <c r="Q45" s="229"/>
      <c r="R45" s="229"/>
      <c r="S45" s="229"/>
      <c r="T45" s="229"/>
    </row>
    <row r="46" spans="1:22" ht="18.75">
      <c r="A46" s="120">
        <v>104</v>
      </c>
      <c r="B46" s="106">
        <v>270</v>
      </c>
      <c r="C46" s="52">
        <v>1022.4</v>
      </c>
      <c r="D46" s="52">
        <v>226.4</v>
      </c>
      <c r="E46" s="65">
        <v>445.3</v>
      </c>
      <c r="F46" s="65">
        <v>1020.4</v>
      </c>
      <c r="G46" s="65">
        <v>126.9</v>
      </c>
      <c r="H46" s="66"/>
      <c r="I46" s="66"/>
      <c r="J46" s="96">
        <v>177</v>
      </c>
      <c r="K46" s="97">
        <v>1339.8</v>
      </c>
      <c r="L46" s="123">
        <v>4358.2</v>
      </c>
      <c r="M46" s="42">
        <v>56.7</v>
      </c>
      <c r="N46" s="138">
        <v>1592.6000000000001</v>
      </c>
      <c r="O46" s="125">
        <v>122</v>
      </c>
      <c r="P46" s="109">
        <v>1714.6000000000001</v>
      </c>
      <c r="Q46" s="39">
        <v>16.140999999999998</v>
      </c>
      <c r="R46" s="39">
        <v>6.3503703703703707</v>
      </c>
      <c r="S46" s="128">
        <v>0.78411464658732077</v>
      </c>
      <c r="T46" s="92">
        <v>4414.8999999999996</v>
      </c>
    </row>
    <row r="47" spans="1:22" ht="18.75">
      <c r="A47" s="7" t="s">
        <v>100</v>
      </c>
      <c r="B47" s="89">
        <v>265</v>
      </c>
      <c r="C47" s="51">
        <v>1217.9000000000001</v>
      </c>
      <c r="D47" s="51">
        <v>269.7</v>
      </c>
      <c r="E47" s="63">
        <v>497.7</v>
      </c>
      <c r="F47" s="63">
        <v>1011.5</v>
      </c>
      <c r="G47" s="63">
        <v>129.5</v>
      </c>
      <c r="H47" s="64"/>
      <c r="I47" s="64"/>
      <c r="J47" s="109">
        <v>168</v>
      </c>
      <c r="K47" s="42">
        <v>1257.5</v>
      </c>
      <c r="L47" s="123">
        <v>4551.8</v>
      </c>
      <c r="M47" s="42">
        <v>35.6</v>
      </c>
      <c r="N47" s="138">
        <v>1638.7</v>
      </c>
      <c r="O47" s="125">
        <v>132.5</v>
      </c>
      <c r="P47" s="109">
        <v>1771.2</v>
      </c>
      <c r="Q47" s="39">
        <v>17.177</v>
      </c>
      <c r="R47" s="39">
        <v>6.6837735849056603</v>
      </c>
      <c r="S47" s="128">
        <v>0.83444255525868349</v>
      </c>
      <c r="T47" s="92">
        <v>4587.4000000000005</v>
      </c>
    </row>
    <row r="48" spans="1:22" ht="18.75">
      <c r="A48" s="120">
        <v>50</v>
      </c>
      <c r="B48" s="106">
        <v>269</v>
      </c>
      <c r="C48" s="97">
        <v>1489.9</v>
      </c>
      <c r="D48" s="99">
        <v>329.9</v>
      </c>
      <c r="E48" s="68">
        <v>548.79999999999995</v>
      </c>
      <c r="F48" s="66">
        <v>780</v>
      </c>
      <c r="G48" s="66">
        <v>102.9</v>
      </c>
      <c r="H48" s="66">
        <v>27.6</v>
      </c>
      <c r="I48" s="66"/>
      <c r="J48" s="98">
        <v>203</v>
      </c>
      <c r="K48" s="44">
        <v>1324.1</v>
      </c>
      <c r="L48" s="123">
        <v>4806.2</v>
      </c>
      <c r="M48" s="42">
        <v>42.4</v>
      </c>
      <c r="N48" s="138">
        <v>1459.3</v>
      </c>
      <c r="O48" s="125">
        <v>165</v>
      </c>
      <c r="P48" s="109">
        <v>1624.3</v>
      </c>
      <c r="Q48" s="39">
        <v>17.867000000000001</v>
      </c>
      <c r="R48" s="39">
        <v>6.0382899628252789</v>
      </c>
      <c r="S48" s="128">
        <v>0.86796210833130927</v>
      </c>
      <c r="T48" s="92">
        <v>4848.5999999999995</v>
      </c>
      <c r="V48" t="s">
        <v>338</v>
      </c>
    </row>
    <row r="49" spans="1:22" ht="18.75">
      <c r="A49" s="7" t="s">
        <v>127</v>
      </c>
      <c r="B49" s="89">
        <v>286</v>
      </c>
      <c r="C49" s="6">
        <v>1599.3</v>
      </c>
      <c r="D49" s="110">
        <v>354.1</v>
      </c>
      <c r="E49" s="67">
        <v>632.29999999999995</v>
      </c>
      <c r="F49" s="64">
        <v>640.79999999999995</v>
      </c>
      <c r="G49" s="64">
        <v>98.1</v>
      </c>
      <c r="H49" s="64"/>
      <c r="I49" s="64"/>
      <c r="J49" s="109">
        <v>203</v>
      </c>
      <c r="K49" s="42">
        <v>1447.5</v>
      </c>
      <c r="L49" s="123">
        <v>4975.1000000000004</v>
      </c>
      <c r="M49" s="42">
        <v>32.9</v>
      </c>
      <c r="N49" s="138">
        <v>1371.1999999999998</v>
      </c>
      <c r="O49" s="125">
        <v>144.4</v>
      </c>
      <c r="P49" s="109">
        <v>1515.6</v>
      </c>
      <c r="Q49" s="39">
        <v>17.395</v>
      </c>
      <c r="R49" s="39">
        <v>5.2993006993006988</v>
      </c>
      <c r="S49" s="128">
        <v>0.84503279086713623</v>
      </c>
      <c r="T49" s="92">
        <v>5008</v>
      </c>
    </row>
    <row r="50" spans="1:22">
      <c r="A50" s="228" t="s">
        <v>329</v>
      </c>
      <c r="B50" s="229"/>
      <c r="C50" s="229"/>
      <c r="D50" s="229"/>
      <c r="E50" s="229"/>
      <c r="F50" s="229"/>
      <c r="G50" s="229"/>
      <c r="H50" s="229"/>
      <c r="I50" s="229"/>
      <c r="J50" s="229"/>
      <c r="K50" s="229"/>
      <c r="L50" s="229"/>
      <c r="M50" s="229"/>
      <c r="N50" s="229"/>
      <c r="O50" s="229"/>
      <c r="P50" s="229"/>
      <c r="Q50" s="229"/>
      <c r="R50" s="229"/>
      <c r="S50" s="229"/>
      <c r="T50" s="229"/>
    </row>
    <row r="51" spans="1:22" ht="18.75">
      <c r="A51" s="7" t="s">
        <v>70</v>
      </c>
      <c r="B51" s="89">
        <v>207</v>
      </c>
      <c r="C51" s="51">
        <v>787.9</v>
      </c>
      <c r="D51" s="51">
        <v>174.5</v>
      </c>
      <c r="E51" s="63">
        <v>225.9</v>
      </c>
      <c r="F51" s="63">
        <v>537.1</v>
      </c>
      <c r="G51" s="63">
        <v>57.4</v>
      </c>
      <c r="H51" s="64"/>
      <c r="I51" s="64"/>
      <c r="J51" s="108">
        <v>154</v>
      </c>
      <c r="K51" s="6">
        <v>1063.7</v>
      </c>
      <c r="L51" s="123">
        <v>3000.5</v>
      </c>
      <c r="M51" s="42">
        <v>28.8</v>
      </c>
      <c r="N51" s="138">
        <v>820.4</v>
      </c>
      <c r="O51" s="125">
        <v>119.3</v>
      </c>
      <c r="P51" s="109">
        <v>939.69999999999993</v>
      </c>
      <c r="Q51" s="39">
        <v>14.494999999999999</v>
      </c>
      <c r="R51" s="39">
        <v>4.5396135265700481</v>
      </c>
      <c r="S51" s="128">
        <v>0.70415350983726011</v>
      </c>
      <c r="T51" s="92">
        <v>3029.3</v>
      </c>
    </row>
    <row r="52" spans="1:22" ht="18.75">
      <c r="A52" s="7" t="s">
        <v>71</v>
      </c>
      <c r="B52" s="89">
        <v>203</v>
      </c>
      <c r="C52" s="51">
        <v>787.9</v>
      </c>
      <c r="D52" s="51">
        <v>174.5</v>
      </c>
      <c r="E52" s="63">
        <v>360.2</v>
      </c>
      <c r="F52" s="63">
        <v>594.79999999999995</v>
      </c>
      <c r="G52" s="63">
        <v>64.400000000000006</v>
      </c>
      <c r="H52" s="64"/>
      <c r="I52" s="64"/>
      <c r="J52" s="108">
        <v>154</v>
      </c>
      <c r="K52" s="6">
        <v>1049.9000000000001</v>
      </c>
      <c r="L52" s="123">
        <v>3185.7</v>
      </c>
      <c r="M52" s="42">
        <v>25.3</v>
      </c>
      <c r="N52" s="138">
        <v>1019.4</v>
      </c>
      <c r="O52" s="125">
        <v>135.5</v>
      </c>
      <c r="P52" s="109">
        <v>1154.9000000000001</v>
      </c>
      <c r="Q52" s="39">
        <v>15.693</v>
      </c>
      <c r="R52" s="39">
        <v>5.6891625615763548</v>
      </c>
      <c r="S52" s="128">
        <v>0.76235122662132615</v>
      </c>
      <c r="T52" s="92">
        <v>3211</v>
      </c>
    </row>
    <row r="53" spans="1:22" ht="18.75">
      <c r="A53" s="7" t="s">
        <v>77</v>
      </c>
      <c r="B53" s="89">
        <v>215</v>
      </c>
      <c r="C53" s="51">
        <v>787.9</v>
      </c>
      <c r="D53" s="51">
        <v>174.5</v>
      </c>
      <c r="E53" s="63">
        <v>311.10000000000002</v>
      </c>
      <c r="F53" s="63">
        <v>790.8</v>
      </c>
      <c r="G53" s="63">
        <v>49.1</v>
      </c>
      <c r="H53" s="64"/>
      <c r="I53" s="64"/>
      <c r="J53" s="108">
        <v>154</v>
      </c>
      <c r="K53" s="6">
        <v>953.8</v>
      </c>
      <c r="L53" s="123">
        <v>3221.2</v>
      </c>
      <c r="M53" s="42">
        <v>34.9</v>
      </c>
      <c r="N53" s="138">
        <v>1151</v>
      </c>
      <c r="O53" s="125">
        <v>122.9</v>
      </c>
      <c r="P53" s="109">
        <v>1273.9000000000001</v>
      </c>
      <c r="Q53" s="39">
        <v>14.981999999999999</v>
      </c>
      <c r="R53" s="39">
        <v>5.9251162790697682</v>
      </c>
      <c r="S53" s="128">
        <v>0.72781151323779447</v>
      </c>
      <c r="T53" s="92">
        <v>3256.1</v>
      </c>
    </row>
    <row r="54" spans="1:22" ht="18.75">
      <c r="A54" s="7" t="s">
        <v>80</v>
      </c>
      <c r="B54" s="89">
        <v>212</v>
      </c>
      <c r="C54" s="51">
        <v>881.7</v>
      </c>
      <c r="D54" s="51">
        <v>195.2</v>
      </c>
      <c r="E54" s="63">
        <v>585.70000000000005</v>
      </c>
      <c r="F54" s="63">
        <v>829.3</v>
      </c>
      <c r="G54" s="63">
        <v>93.6</v>
      </c>
      <c r="H54" s="64"/>
      <c r="I54" s="64"/>
      <c r="J54" s="108">
        <v>154</v>
      </c>
      <c r="K54" s="6">
        <v>879.40000000000009</v>
      </c>
      <c r="L54" s="123">
        <v>3618.9</v>
      </c>
      <c r="M54" s="42">
        <v>32.799999999999997</v>
      </c>
      <c r="N54" s="138">
        <v>1508.6</v>
      </c>
      <c r="O54" s="125">
        <v>127.5</v>
      </c>
      <c r="P54" s="109">
        <v>1636.1</v>
      </c>
      <c r="Q54" s="39">
        <v>17.07</v>
      </c>
      <c r="R54" s="39">
        <v>7.7174528301886784</v>
      </c>
      <c r="S54" s="128">
        <v>0.8292445955793053</v>
      </c>
      <c r="T54" s="92">
        <v>3651.7000000000003</v>
      </c>
    </row>
    <row r="55" spans="1:22" ht="18.75">
      <c r="A55" s="7" t="s">
        <v>85</v>
      </c>
      <c r="B55" s="89">
        <v>230</v>
      </c>
      <c r="C55" s="51">
        <v>811.4</v>
      </c>
      <c r="D55" s="51">
        <v>179.7</v>
      </c>
      <c r="E55" s="63">
        <v>353.6</v>
      </c>
      <c r="F55" s="63">
        <v>664.7</v>
      </c>
      <c r="G55" s="63">
        <v>130.69999999999999</v>
      </c>
      <c r="H55" s="64"/>
      <c r="I55" s="64"/>
      <c r="J55" s="108">
        <v>154</v>
      </c>
      <c r="K55" s="6">
        <v>1114.5</v>
      </c>
      <c r="L55" s="123">
        <v>3408.6</v>
      </c>
      <c r="M55" s="42">
        <v>92.5</v>
      </c>
      <c r="N55" s="138">
        <v>1149</v>
      </c>
      <c r="O55" s="125">
        <v>125.5</v>
      </c>
      <c r="P55" s="109">
        <v>1274.5</v>
      </c>
      <c r="Q55" s="39">
        <v>14.82</v>
      </c>
      <c r="R55" s="39">
        <v>5.5413043478260873</v>
      </c>
      <c r="S55" s="128">
        <v>0.71994170512509104</v>
      </c>
      <c r="T55" s="92">
        <v>3501.1</v>
      </c>
    </row>
    <row r="56" spans="1:22" ht="18.75">
      <c r="A56" s="7" t="s">
        <v>86</v>
      </c>
      <c r="B56" s="89">
        <v>211</v>
      </c>
      <c r="C56" s="51">
        <v>881.7</v>
      </c>
      <c r="D56" s="51">
        <v>195.2</v>
      </c>
      <c r="E56" s="63">
        <v>412.6</v>
      </c>
      <c r="F56" s="63">
        <v>711.8</v>
      </c>
      <c r="G56" s="63">
        <v>90.1</v>
      </c>
      <c r="H56" s="64"/>
      <c r="I56" s="64"/>
      <c r="J56" s="108">
        <v>154</v>
      </c>
      <c r="K56" s="6">
        <v>1065.5</v>
      </c>
      <c r="L56" s="123">
        <v>3510.9</v>
      </c>
      <c r="M56" s="42">
        <v>39.1</v>
      </c>
      <c r="N56" s="138">
        <v>1214.5</v>
      </c>
      <c r="O56" s="125">
        <v>115.5</v>
      </c>
      <c r="P56" s="109">
        <v>1330</v>
      </c>
      <c r="Q56" s="39">
        <v>16.638999999999999</v>
      </c>
      <c r="R56" s="39">
        <v>6.3033175355450233</v>
      </c>
      <c r="S56" s="128">
        <v>0.80830701967452023</v>
      </c>
      <c r="T56" s="92">
        <v>3550</v>
      </c>
    </row>
    <row r="57" spans="1:22" ht="18.75">
      <c r="A57" s="121" t="s">
        <v>90</v>
      </c>
      <c r="B57" s="89">
        <v>217</v>
      </c>
      <c r="C57" s="51">
        <v>881.7</v>
      </c>
      <c r="D57" s="51">
        <v>195.2</v>
      </c>
      <c r="E57" s="63">
        <v>478.1</v>
      </c>
      <c r="F57" s="63">
        <v>828.59999999999991</v>
      </c>
      <c r="G57" s="63">
        <v>111</v>
      </c>
      <c r="H57" s="64"/>
      <c r="I57" s="64"/>
      <c r="J57" s="108">
        <v>154</v>
      </c>
      <c r="K57" s="6">
        <v>995</v>
      </c>
      <c r="L57" s="123">
        <v>3643.6</v>
      </c>
      <c r="M57" s="42">
        <v>33.799999999999997</v>
      </c>
      <c r="N57" s="138">
        <v>1417.6999999999998</v>
      </c>
      <c r="O57" s="125">
        <v>66.7</v>
      </c>
      <c r="P57" s="109">
        <v>1484.3999999999999</v>
      </c>
      <c r="Q57" s="39">
        <v>16.791</v>
      </c>
      <c r="R57" s="39">
        <v>6.8405529953917048</v>
      </c>
      <c r="S57" s="128">
        <v>0.81569103716298275</v>
      </c>
      <c r="T57" s="92">
        <v>3677.4</v>
      </c>
    </row>
    <row r="58" spans="1:22" ht="18.75">
      <c r="A58" s="7" t="s">
        <v>93</v>
      </c>
      <c r="B58" s="89">
        <v>216</v>
      </c>
      <c r="C58" s="51">
        <v>811.4</v>
      </c>
      <c r="D58" s="51">
        <v>179.7</v>
      </c>
      <c r="E58" s="63">
        <v>261.89999999999998</v>
      </c>
      <c r="F58" s="63">
        <v>727.4</v>
      </c>
      <c r="G58" s="63">
        <v>90.4</v>
      </c>
      <c r="H58" s="64"/>
      <c r="I58" s="64"/>
      <c r="J58" s="108">
        <v>154</v>
      </c>
      <c r="K58" s="6">
        <v>1083.1000000000001</v>
      </c>
      <c r="L58" s="123">
        <v>3307.9</v>
      </c>
      <c r="M58" s="42">
        <v>40</v>
      </c>
      <c r="N58" s="138">
        <v>1079.7</v>
      </c>
      <c r="O58" s="125">
        <v>114.4</v>
      </c>
      <c r="P58" s="109">
        <v>1194.1000000000001</v>
      </c>
      <c r="Q58" s="39">
        <v>15.314</v>
      </c>
      <c r="R58" s="39">
        <v>5.528240740740741</v>
      </c>
      <c r="S58" s="128">
        <v>0.74393976196259415</v>
      </c>
      <c r="T58" s="92">
        <v>3347.9</v>
      </c>
      <c r="V58" t="s">
        <v>337</v>
      </c>
    </row>
    <row r="59" spans="1:22" ht="18.75">
      <c r="A59" s="7" t="s">
        <v>104</v>
      </c>
      <c r="B59" s="89">
        <v>222</v>
      </c>
      <c r="C59" s="51">
        <v>1006.8</v>
      </c>
      <c r="D59" s="51">
        <v>222.9</v>
      </c>
      <c r="E59" s="63">
        <v>284.89999999999998</v>
      </c>
      <c r="F59" s="63">
        <v>683.1</v>
      </c>
      <c r="G59" s="63">
        <v>57.8</v>
      </c>
      <c r="H59" s="64"/>
      <c r="I59" s="64"/>
      <c r="J59" s="109">
        <v>154</v>
      </c>
      <c r="K59" s="42">
        <v>1110.5999999999999</v>
      </c>
      <c r="L59" s="123">
        <v>3520.1</v>
      </c>
      <c r="M59" s="42">
        <v>27.8</v>
      </c>
      <c r="N59" s="138">
        <v>1025.8</v>
      </c>
      <c r="O59" s="125">
        <v>119.4</v>
      </c>
      <c r="P59" s="109">
        <v>1145.2</v>
      </c>
      <c r="Q59" s="39">
        <v>15.856</v>
      </c>
      <c r="R59" s="39">
        <v>5.1585585585585587</v>
      </c>
      <c r="S59" s="128">
        <v>0.77026961379645364</v>
      </c>
      <c r="T59" s="92">
        <v>3547.9</v>
      </c>
    </row>
    <row r="60" spans="1:22" ht="18.75">
      <c r="A60" s="7" t="s">
        <v>112</v>
      </c>
      <c r="B60" s="89">
        <v>235</v>
      </c>
      <c r="C60" s="51">
        <v>1038.0999999999999</v>
      </c>
      <c r="D60" s="51">
        <v>229.8</v>
      </c>
      <c r="E60" s="63">
        <v>543.6</v>
      </c>
      <c r="F60" s="63">
        <v>520.29999999999995</v>
      </c>
      <c r="G60" s="63">
        <v>99.3</v>
      </c>
      <c r="H60" s="64"/>
      <c r="I60" s="64"/>
      <c r="J60" s="109">
        <v>154</v>
      </c>
      <c r="K60" s="42">
        <v>1024.4000000000001</v>
      </c>
      <c r="L60" s="123">
        <v>3609.5</v>
      </c>
      <c r="M60" s="42">
        <v>32</v>
      </c>
      <c r="N60" s="138">
        <v>1163.2</v>
      </c>
      <c r="O60" s="125">
        <v>119.2</v>
      </c>
      <c r="P60" s="109">
        <v>1282.4000000000001</v>
      </c>
      <c r="Q60" s="39">
        <v>15.36</v>
      </c>
      <c r="R60" s="39">
        <v>5.4570212765957447</v>
      </c>
      <c r="S60" s="128">
        <v>0.74617439883410241</v>
      </c>
      <c r="T60" s="92">
        <v>3641.5</v>
      </c>
    </row>
    <row r="61" spans="1:22" ht="18.75">
      <c r="A61" s="7" t="s">
        <v>115</v>
      </c>
      <c r="B61" s="89">
        <v>225</v>
      </c>
      <c r="C61" s="6">
        <v>1038.0999999999999</v>
      </c>
      <c r="D61" s="110">
        <v>229.8</v>
      </c>
      <c r="E61" s="67">
        <v>379.9</v>
      </c>
      <c r="F61" s="64">
        <v>766.5</v>
      </c>
      <c r="G61" s="64">
        <v>79</v>
      </c>
      <c r="H61" s="64"/>
      <c r="I61" s="64"/>
      <c r="J61" s="109">
        <v>154</v>
      </c>
      <c r="K61" s="42">
        <v>1204.5999999999999</v>
      </c>
      <c r="L61" s="123">
        <v>3851.9</v>
      </c>
      <c r="M61" s="42">
        <v>36.700000000000003</v>
      </c>
      <c r="N61" s="138">
        <v>1225.4000000000001</v>
      </c>
      <c r="O61" s="125">
        <v>111.7</v>
      </c>
      <c r="P61" s="109">
        <v>1337.1000000000001</v>
      </c>
      <c r="Q61" s="39">
        <v>17.12</v>
      </c>
      <c r="R61" s="39">
        <v>5.9426666666666677</v>
      </c>
      <c r="S61" s="128">
        <v>0.83167354870051013</v>
      </c>
      <c r="T61" s="92">
        <v>3888.6</v>
      </c>
    </row>
    <row r="62" spans="1:22" ht="18.75">
      <c r="A62" s="7" t="s">
        <v>119</v>
      </c>
      <c r="B62" s="89">
        <v>235</v>
      </c>
      <c r="C62" s="6">
        <v>1038.0999999999999</v>
      </c>
      <c r="D62" s="110">
        <v>229.8</v>
      </c>
      <c r="E62" s="67">
        <v>239</v>
      </c>
      <c r="F62" s="64">
        <v>724.3</v>
      </c>
      <c r="G62" s="64">
        <v>109</v>
      </c>
      <c r="H62" s="64"/>
      <c r="I62" s="64"/>
      <c r="J62" s="109">
        <v>154</v>
      </c>
      <c r="K62" s="42">
        <v>1186.8999999999999</v>
      </c>
      <c r="L62" s="123">
        <v>3681.1</v>
      </c>
      <c r="M62" s="42">
        <v>34</v>
      </c>
      <c r="N62" s="138">
        <v>1072.3</v>
      </c>
      <c r="O62" s="125">
        <v>114.3</v>
      </c>
      <c r="P62" s="109">
        <v>1186.5999999999999</v>
      </c>
      <c r="Q62" s="39">
        <v>15.664</v>
      </c>
      <c r="R62" s="39">
        <v>5.0493617021276593</v>
      </c>
      <c r="S62" s="128">
        <v>0.76094243381102744</v>
      </c>
      <c r="T62" s="92">
        <v>3715.1</v>
      </c>
    </row>
    <row r="63" spans="1:22" ht="18.75">
      <c r="A63" s="7" t="s">
        <v>121</v>
      </c>
      <c r="B63" s="89">
        <v>201</v>
      </c>
      <c r="C63" s="6">
        <v>1030.3</v>
      </c>
      <c r="D63" s="110">
        <v>228.1</v>
      </c>
      <c r="E63" s="67">
        <v>456</v>
      </c>
      <c r="F63" s="64">
        <v>312.2</v>
      </c>
      <c r="G63" s="64">
        <v>83</v>
      </c>
      <c r="H63" s="64"/>
      <c r="I63" s="64"/>
      <c r="J63" s="109">
        <v>154</v>
      </c>
      <c r="K63" s="42">
        <v>1026.3</v>
      </c>
      <c r="L63" s="123">
        <v>3289.9</v>
      </c>
      <c r="M63" s="42">
        <v>30.4</v>
      </c>
      <c r="N63" s="138">
        <v>851.2</v>
      </c>
      <c r="O63" s="125">
        <v>109.4</v>
      </c>
      <c r="P63" s="109">
        <v>960.6</v>
      </c>
      <c r="Q63" s="39">
        <v>16.367999999999999</v>
      </c>
      <c r="R63" s="39">
        <v>4.7791044776119405</v>
      </c>
      <c r="S63" s="128">
        <v>0.79514209375759037</v>
      </c>
      <c r="T63" s="92">
        <v>3320.3</v>
      </c>
    </row>
    <row r="64" spans="1:22" ht="18.75">
      <c r="A64" s="120">
        <v>91</v>
      </c>
      <c r="B64" s="106">
        <v>243</v>
      </c>
      <c r="C64" s="97">
        <v>1411.7</v>
      </c>
      <c r="D64" s="99">
        <v>312.60000000000002</v>
      </c>
      <c r="E64" s="68">
        <v>465</v>
      </c>
      <c r="F64" s="66">
        <v>801</v>
      </c>
      <c r="G64" s="66">
        <v>72</v>
      </c>
      <c r="H64" s="66"/>
      <c r="I64" s="66"/>
      <c r="J64" s="98">
        <v>208</v>
      </c>
      <c r="K64" s="44">
        <v>1288.7</v>
      </c>
      <c r="L64" s="91">
        <v>4559</v>
      </c>
      <c r="M64" s="44">
        <v>52.1</v>
      </c>
      <c r="N64" s="68">
        <v>1338</v>
      </c>
      <c r="O64" s="100">
        <v>177.4</v>
      </c>
      <c r="P64" s="98">
        <v>1515.4</v>
      </c>
      <c r="Q64" s="163">
        <v>18.760999999999999</v>
      </c>
      <c r="R64" s="163">
        <v>6.2362139917695476</v>
      </c>
      <c r="S64" s="164">
        <v>0.91139179013845029</v>
      </c>
      <c r="T64" s="165">
        <v>4611.1000000000004</v>
      </c>
    </row>
    <row r="65" spans="1:21" ht="18.75">
      <c r="A65" s="7" t="s">
        <v>128</v>
      </c>
      <c r="B65" s="89">
        <v>223</v>
      </c>
      <c r="C65" s="6">
        <v>991.2</v>
      </c>
      <c r="D65" s="110">
        <v>219.5</v>
      </c>
      <c r="E65" s="67">
        <v>419.1</v>
      </c>
      <c r="F65" s="64">
        <v>890.3</v>
      </c>
      <c r="G65" s="64">
        <v>71.2</v>
      </c>
      <c r="H65" s="64"/>
      <c r="I65" s="64"/>
      <c r="J65" s="109">
        <v>154</v>
      </c>
      <c r="K65" s="42">
        <v>1302.5</v>
      </c>
      <c r="L65" s="123">
        <v>4047.8</v>
      </c>
      <c r="M65" s="42">
        <v>49</v>
      </c>
      <c r="N65" s="138">
        <v>1380.6000000000001</v>
      </c>
      <c r="O65" s="125">
        <v>116.4</v>
      </c>
      <c r="P65" s="109">
        <v>1497.0000000000002</v>
      </c>
      <c r="Q65" s="39">
        <v>18.152000000000001</v>
      </c>
      <c r="R65" s="39">
        <v>6.7130044843049337</v>
      </c>
      <c r="S65" s="128">
        <v>0.8818071411221764</v>
      </c>
      <c r="T65" s="92">
        <v>4096.8</v>
      </c>
    </row>
    <row r="66" spans="1:21" ht="18.75">
      <c r="A66" s="120">
        <v>101</v>
      </c>
      <c r="B66" s="106">
        <v>230</v>
      </c>
      <c r="C66" s="62">
        <v>1700.9</v>
      </c>
      <c r="D66" s="42">
        <v>376.6</v>
      </c>
      <c r="E66" s="68">
        <v>705.8</v>
      </c>
      <c r="F66" s="66">
        <v>1849.7</v>
      </c>
      <c r="G66" s="66">
        <v>174.2</v>
      </c>
      <c r="H66" s="66"/>
      <c r="I66" s="66"/>
      <c r="J66" s="98">
        <v>209</v>
      </c>
      <c r="K66" s="44">
        <v>1993.8999999999999</v>
      </c>
      <c r="L66" s="91">
        <v>7010.1</v>
      </c>
      <c r="M66" s="44">
        <v>34.299999999999997</v>
      </c>
      <c r="N66" s="68">
        <v>2729.7</v>
      </c>
      <c r="O66" s="100">
        <v>165.5</v>
      </c>
      <c r="P66" s="98">
        <v>2895.2</v>
      </c>
      <c r="Q66" s="163">
        <v>30.478999999999999</v>
      </c>
      <c r="R66" s="163">
        <v>12.587826086956522</v>
      </c>
      <c r="S66" s="164">
        <v>1.480641243623998</v>
      </c>
      <c r="T66" s="165">
        <v>7044.4000000000005</v>
      </c>
    </row>
    <row r="67" spans="1:21" ht="18.75">
      <c r="A67" s="7" t="s">
        <v>140</v>
      </c>
      <c r="B67" s="89">
        <v>224</v>
      </c>
      <c r="C67" s="62">
        <v>1077.2</v>
      </c>
      <c r="D67" s="42">
        <v>238.5</v>
      </c>
      <c r="E67" s="67">
        <v>334</v>
      </c>
      <c r="F67" s="64">
        <v>877.1</v>
      </c>
      <c r="G67" s="64">
        <v>76.400000000000006</v>
      </c>
      <c r="H67" s="64"/>
      <c r="I67" s="64"/>
      <c r="J67" s="109">
        <v>154</v>
      </c>
      <c r="K67" s="42">
        <v>1128.1999999999998</v>
      </c>
      <c r="L67" s="123">
        <v>3885.4</v>
      </c>
      <c r="M67" s="42">
        <v>33</v>
      </c>
      <c r="N67" s="138">
        <v>1287.5</v>
      </c>
      <c r="O67" s="125">
        <v>111.6</v>
      </c>
      <c r="P67" s="109">
        <v>1399.1</v>
      </c>
      <c r="Q67" s="39">
        <v>17.346</v>
      </c>
      <c r="R67" s="39">
        <v>6.2459821428571427</v>
      </c>
      <c r="S67" s="128">
        <v>0.84265241680835556</v>
      </c>
      <c r="T67" s="92">
        <v>3918.4</v>
      </c>
    </row>
    <row r="68" spans="1:21" ht="18.75">
      <c r="A68" s="122" t="s">
        <v>156</v>
      </c>
      <c r="B68" s="89">
        <v>233</v>
      </c>
      <c r="C68" s="42">
        <v>834.8</v>
      </c>
      <c r="D68" s="42">
        <v>184.8</v>
      </c>
      <c r="E68" s="63">
        <v>314.3</v>
      </c>
      <c r="F68" s="63">
        <v>733.2</v>
      </c>
      <c r="G68" s="64">
        <v>67</v>
      </c>
      <c r="H68" s="69"/>
      <c r="I68" s="69"/>
      <c r="J68" s="42">
        <v>154</v>
      </c>
      <c r="K68" s="42">
        <v>1077.2</v>
      </c>
      <c r="L68" s="123">
        <v>3365.3</v>
      </c>
      <c r="M68" s="6">
        <v>100</v>
      </c>
      <c r="N68" s="138">
        <v>1114.5</v>
      </c>
      <c r="O68" s="125">
        <v>110</v>
      </c>
      <c r="P68" s="109">
        <v>1224.5</v>
      </c>
      <c r="Q68" s="39">
        <v>14.443</v>
      </c>
      <c r="R68" s="39">
        <v>5.255364806866953</v>
      </c>
      <c r="S68" s="128">
        <v>0.70162739859120715</v>
      </c>
      <c r="T68" s="92">
        <v>3465.3</v>
      </c>
    </row>
    <row r="69" spans="1:21">
      <c r="A69" s="226" t="s">
        <v>330</v>
      </c>
      <c r="B69" s="227"/>
      <c r="C69" s="227"/>
      <c r="D69" s="227"/>
      <c r="E69" s="227"/>
      <c r="F69" s="227"/>
      <c r="G69" s="227"/>
      <c r="H69" s="227"/>
      <c r="I69" s="227"/>
      <c r="J69" s="227"/>
      <c r="K69" s="227"/>
      <c r="L69" s="227"/>
      <c r="M69" s="227"/>
      <c r="N69" s="227"/>
      <c r="O69" s="227"/>
      <c r="P69" s="227"/>
      <c r="Q69" s="227"/>
      <c r="R69" s="227"/>
      <c r="S69" s="227"/>
      <c r="T69" s="227"/>
      <c r="U69" s="227"/>
    </row>
    <row r="70" spans="1:21" ht="18.75">
      <c r="A70" s="7" t="s">
        <v>72</v>
      </c>
      <c r="B70" s="89">
        <v>188</v>
      </c>
      <c r="C70" s="51">
        <v>787.9</v>
      </c>
      <c r="D70" s="51">
        <v>174.5</v>
      </c>
      <c r="E70" s="63">
        <v>301.3</v>
      </c>
      <c r="F70" s="63">
        <v>474.1</v>
      </c>
      <c r="G70" s="63">
        <v>68.3</v>
      </c>
      <c r="H70" s="64"/>
      <c r="I70" s="64"/>
      <c r="J70" s="108">
        <v>154</v>
      </c>
      <c r="K70" s="6">
        <v>1036.2</v>
      </c>
      <c r="L70" s="123">
        <v>2996.3</v>
      </c>
      <c r="M70" s="42">
        <v>26.5</v>
      </c>
      <c r="N70" s="138">
        <v>843.7</v>
      </c>
      <c r="O70" s="125">
        <v>120.1</v>
      </c>
      <c r="P70" s="109">
        <v>963.80000000000007</v>
      </c>
      <c r="Q70" s="39">
        <v>15.938000000000001</v>
      </c>
      <c r="R70" s="39">
        <v>5.1265957446808512</v>
      </c>
      <c r="S70" s="128">
        <v>0.77425309691522959</v>
      </c>
      <c r="T70" s="92">
        <v>3022.8</v>
      </c>
    </row>
    <row r="71" spans="1:21" ht="18.75">
      <c r="A71" s="7" t="s">
        <v>73</v>
      </c>
      <c r="B71" s="89">
        <v>180</v>
      </c>
      <c r="C71" s="51">
        <v>741</v>
      </c>
      <c r="D71" s="51">
        <v>164.1</v>
      </c>
      <c r="E71" s="63">
        <v>347.1</v>
      </c>
      <c r="F71" s="63">
        <v>497.6</v>
      </c>
      <c r="G71" s="63">
        <v>61.2</v>
      </c>
      <c r="H71" s="64"/>
      <c r="I71" s="64"/>
      <c r="J71" s="108">
        <v>154</v>
      </c>
      <c r="K71" s="6">
        <v>769.8</v>
      </c>
      <c r="L71" s="123">
        <v>2734.8</v>
      </c>
      <c r="M71" s="42">
        <v>38.1</v>
      </c>
      <c r="N71" s="138">
        <v>905.90000000000009</v>
      </c>
      <c r="O71" s="125">
        <v>132.5</v>
      </c>
      <c r="P71" s="109">
        <v>1038.4000000000001</v>
      </c>
      <c r="Q71" s="39">
        <v>15.193</v>
      </c>
      <c r="R71" s="39">
        <v>5.7688888888888892</v>
      </c>
      <c r="S71" s="128">
        <v>0.73806169540927857</v>
      </c>
      <c r="T71" s="92">
        <v>2772.9</v>
      </c>
    </row>
    <row r="72" spans="1:21" ht="18.75">
      <c r="A72" s="7" t="s">
        <v>74</v>
      </c>
      <c r="B72" s="89">
        <v>166</v>
      </c>
      <c r="C72" s="51">
        <v>741</v>
      </c>
      <c r="D72" s="51">
        <v>164.1</v>
      </c>
      <c r="E72" s="63">
        <v>397.1</v>
      </c>
      <c r="F72" s="63">
        <v>498.6</v>
      </c>
      <c r="G72" s="63">
        <v>50.5</v>
      </c>
      <c r="H72" s="64"/>
      <c r="I72" s="64"/>
      <c r="J72" s="108">
        <v>150</v>
      </c>
      <c r="K72" s="6">
        <v>714.9</v>
      </c>
      <c r="L72" s="123">
        <v>2716.2</v>
      </c>
      <c r="M72" s="42">
        <v>27.3</v>
      </c>
      <c r="N72" s="138">
        <v>946.2</v>
      </c>
      <c r="O72" s="125">
        <v>84</v>
      </c>
      <c r="P72" s="109">
        <v>1030.2</v>
      </c>
      <c r="Q72" s="39">
        <v>16.363</v>
      </c>
      <c r="R72" s="39">
        <v>6.2060240963855424</v>
      </c>
      <c r="S72" s="128">
        <v>0.79489919844546997</v>
      </c>
      <c r="T72" s="92">
        <v>2743.5</v>
      </c>
    </row>
    <row r="73" spans="1:21" ht="18.75">
      <c r="A73" s="7" t="s">
        <v>76</v>
      </c>
      <c r="B73" s="89">
        <v>176</v>
      </c>
      <c r="C73" s="51">
        <v>741</v>
      </c>
      <c r="D73" s="51">
        <v>164.1</v>
      </c>
      <c r="E73" s="63">
        <v>314.3</v>
      </c>
      <c r="F73" s="63">
        <v>665.7</v>
      </c>
      <c r="G73" s="63">
        <v>131.69999999999999</v>
      </c>
      <c r="H73" s="64"/>
      <c r="I73" s="64"/>
      <c r="J73" s="108">
        <v>154</v>
      </c>
      <c r="K73" s="6">
        <v>824.5</v>
      </c>
      <c r="L73" s="123">
        <v>2995.3</v>
      </c>
      <c r="M73" s="42">
        <v>23.5</v>
      </c>
      <c r="N73" s="138">
        <v>1111.7</v>
      </c>
      <c r="O73" s="125">
        <v>101.7</v>
      </c>
      <c r="P73" s="109">
        <v>1213.4000000000001</v>
      </c>
      <c r="Q73" s="39">
        <v>17.018999999999998</v>
      </c>
      <c r="R73" s="39">
        <v>6.894318181818182</v>
      </c>
      <c r="S73" s="128">
        <v>0.82676706339567629</v>
      </c>
      <c r="T73" s="92">
        <v>3018.8</v>
      </c>
    </row>
    <row r="74" spans="1:21" ht="18.75">
      <c r="A74" s="120">
        <v>123</v>
      </c>
      <c r="B74" s="106">
        <v>181</v>
      </c>
      <c r="C74" s="52">
        <v>787.9</v>
      </c>
      <c r="D74" s="52">
        <v>174.5</v>
      </c>
      <c r="E74" s="65">
        <v>399.5</v>
      </c>
      <c r="F74" s="65">
        <v>600.1</v>
      </c>
      <c r="G74" s="65">
        <v>68.900000000000006</v>
      </c>
      <c r="H74" s="66"/>
      <c r="I74" s="66"/>
      <c r="J74" s="96">
        <v>154</v>
      </c>
      <c r="K74" s="97">
        <v>793.3</v>
      </c>
      <c r="L74" s="91">
        <v>2978.2</v>
      </c>
      <c r="M74" s="44">
        <v>24.8</v>
      </c>
      <c r="N74" s="68">
        <v>1068.5</v>
      </c>
      <c r="O74" s="100">
        <v>134.5</v>
      </c>
      <c r="P74" s="98">
        <v>1203</v>
      </c>
      <c r="Q74" s="163">
        <v>16.454000000000001</v>
      </c>
      <c r="R74" s="163">
        <v>6.6464088397790055</v>
      </c>
      <c r="S74" s="164">
        <v>0.79931989312606266</v>
      </c>
      <c r="T74" s="165">
        <v>3003</v>
      </c>
    </row>
    <row r="75" spans="1:21" ht="18.75">
      <c r="A75" s="7" t="s">
        <v>78</v>
      </c>
      <c r="B75" s="89">
        <v>177</v>
      </c>
      <c r="C75" s="51">
        <v>787.9</v>
      </c>
      <c r="D75" s="51">
        <v>174.5</v>
      </c>
      <c r="E75" s="63">
        <v>360.2</v>
      </c>
      <c r="F75" s="63">
        <v>657.9</v>
      </c>
      <c r="G75" s="63">
        <v>97.2</v>
      </c>
      <c r="H75" s="64"/>
      <c r="I75" s="64"/>
      <c r="J75" s="108">
        <v>154</v>
      </c>
      <c r="K75" s="6">
        <v>758</v>
      </c>
      <c r="L75" s="123">
        <v>2989.7</v>
      </c>
      <c r="M75" s="42">
        <v>30.7</v>
      </c>
      <c r="N75" s="138">
        <v>1115.3</v>
      </c>
      <c r="O75" s="125">
        <v>99.1</v>
      </c>
      <c r="P75" s="109">
        <v>1214.3999999999999</v>
      </c>
      <c r="Q75" s="39">
        <v>16.890999999999998</v>
      </c>
      <c r="R75" s="39">
        <v>6.8610169491525417</v>
      </c>
      <c r="S75" s="128">
        <v>0.82054894340539219</v>
      </c>
      <c r="T75" s="92">
        <v>3020.3999999999996</v>
      </c>
    </row>
    <row r="76" spans="1:21" ht="18.75">
      <c r="A76" s="7" t="s">
        <v>79</v>
      </c>
      <c r="B76" s="89">
        <v>179</v>
      </c>
      <c r="C76" s="51">
        <v>741</v>
      </c>
      <c r="D76" s="51">
        <v>164.1</v>
      </c>
      <c r="E76" s="63">
        <v>394.6</v>
      </c>
      <c r="F76" s="63">
        <v>650.9</v>
      </c>
      <c r="G76" s="63">
        <v>80.099999999999994</v>
      </c>
      <c r="H76" s="64"/>
      <c r="I76" s="64"/>
      <c r="J76" s="108">
        <v>154</v>
      </c>
      <c r="K76" s="6">
        <v>904.9</v>
      </c>
      <c r="L76" s="123">
        <v>3089.6</v>
      </c>
      <c r="M76" s="42">
        <v>69</v>
      </c>
      <c r="N76" s="138">
        <v>1125.5999999999999</v>
      </c>
      <c r="O76" s="125">
        <v>126.2</v>
      </c>
      <c r="P76" s="109">
        <v>1251.8</v>
      </c>
      <c r="Q76" s="39">
        <v>17.260000000000002</v>
      </c>
      <c r="R76" s="39">
        <v>6.993296089385475</v>
      </c>
      <c r="S76" s="128">
        <v>0.8384746174398835</v>
      </c>
      <c r="T76" s="92">
        <v>3158.6</v>
      </c>
    </row>
    <row r="77" spans="1:21" ht="18.75">
      <c r="A77" s="7" t="s">
        <v>81</v>
      </c>
      <c r="B77" s="89">
        <v>179</v>
      </c>
      <c r="C77" s="51">
        <v>741</v>
      </c>
      <c r="D77" s="51">
        <v>164.1</v>
      </c>
      <c r="E77" s="63">
        <v>340.6</v>
      </c>
      <c r="F77" s="63">
        <v>741.9</v>
      </c>
      <c r="G77" s="63">
        <v>83.4</v>
      </c>
      <c r="H77" s="64"/>
      <c r="I77" s="64"/>
      <c r="J77" s="108">
        <v>154</v>
      </c>
      <c r="K77" s="6">
        <v>942.19999999999993</v>
      </c>
      <c r="L77" s="123">
        <v>3167.2</v>
      </c>
      <c r="M77" s="42">
        <v>40</v>
      </c>
      <c r="N77" s="138">
        <v>1165.9000000000001</v>
      </c>
      <c r="O77" s="125">
        <v>107.1</v>
      </c>
      <c r="P77" s="109">
        <v>1273</v>
      </c>
      <c r="Q77" s="39">
        <v>17.693999999999999</v>
      </c>
      <c r="R77" s="39">
        <v>7.1117318435754191</v>
      </c>
      <c r="S77" s="128">
        <v>0.85955793053194063</v>
      </c>
      <c r="T77" s="92">
        <v>3207.2</v>
      </c>
    </row>
    <row r="78" spans="1:21" ht="18.75">
      <c r="A78" s="7" t="s">
        <v>82</v>
      </c>
      <c r="B78" s="89">
        <v>195</v>
      </c>
      <c r="C78" s="51">
        <v>787.9</v>
      </c>
      <c r="D78" s="51">
        <v>174.5</v>
      </c>
      <c r="E78" s="63">
        <v>281.60000000000002</v>
      </c>
      <c r="F78" s="63">
        <v>627.5</v>
      </c>
      <c r="G78" s="63">
        <v>80.400000000000006</v>
      </c>
      <c r="H78" s="64"/>
      <c r="I78" s="64"/>
      <c r="J78" s="108">
        <v>154</v>
      </c>
      <c r="K78" s="6">
        <v>899.1</v>
      </c>
      <c r="L78" s="123">
        <v>3005</v>
      </c>
      <c r="M78" s="42">
        <v>37.799999999999997</v>
      </c>
      <c r="N78" s="138">
        <v>989.5</v>
      </c>
      <c r="O78" s="125">
        <v>118.5</v>
      </c>
      <c r="P78" s="109">
        <v>1108</v>
      </c>
      <c r="Q78" s="39">
        <v>15.41</v>
      </c>
      <c r="R78" s="39">
        <v>5.6820512820512823</v>
      </c>
      <c r="S78" s="128">
        <v>0.74860335195530725</v>
      </c>
      <c r="T78" s="92">
        <v>3042.8</v>
      </c>
    </row>
    <row r="79" spans="1:21" ht="18.75">
      <c r="A79" s="120">
        <v>153</v>
      </c>
      <c r="B79" s="106">
        <v>177</v>
      </c>
      <c r="C79" s="52">
        <v>834.8</v>
      </c>
      <c r="D79" s="52">
        <v>184.8</v>
      </c>
      <c r="E79" s="65">
        <v>358.4</v>
      </c>
      <c r="F79" s="65">
        <v>581.6</v>
      </c>
      <c r="G79" s="65">
        <v>89</v>
      </c>
      <c r="H79" s="66"/>
      <c r="I79" s="66"/>
      <c r="J79" s="96">
        <v>154</v>
      </c>
      <c r="K79" s="97">
        <v>891.1</v>
      </c>
      <c r="L79" s="91">
        <v>3093.7</v>
      </c>
      <c r="M79" s="44">
        <v>38.200000000000003</v>
      </c>
      <c r="N79" s="68">
        <v>1029</v>
      </c>
      <c r="O79" s="100">
        <v>93</v>
      </c>
      <c r="P79" s="98">
        <v>1122</v>
      </c>
      <c r="Q79" s="163">
        <v>17.478999999999999</v>
      </c>
      <c r="R79" s="163">
        <v>6.3389830508474576</v>
      </c>
      <c r="S79" s="164">
        <v>0.84911343211076018</v>
      </c>
      <c r="T79" s="165">
        <v>3131.8999999999996</v>
      </c>
    </row>
    <row r="80" spans="1:21" ht="18.75">
      <c r="A80" s="7" t="s">
        <v>83</v>
      </c>
      <c r="B80" s="89">
        <v>195</v>
      </c>
      <c r="C80" s="51">
        <v>811.4</v>
      </c>
      <c r="D80" s="51">
        <v>179.7</v>
      </c>
      <c r="E80" s="63">
        <v>375</v>
      </c>
      <c r="F80" s="63">
        <v>598.4</v>
      </c>
      <c r="G80" s="63">
        <v>71.8</v>
      </c>
      <c r="H80" s="64"/>
      <c r="I80" s="64"/>
      <c r="J80" s="108">
        <v>154</v>
      </c>
      <c r="K80" s="6">
        <v>836.4</v>
      </c>
      <c r="L80" s="123">
        <v>3026.7</v>
      </c>
      <c r="M80" s="42">
        <v>38.4</v>
      </c>
      <c r="N80" s="138">
        <v>1045.2</v>
      </c>
      <c r="O80" s="125">
        <v>129.69999999999999</v>
      </c>
      <c r="P80" s="109">
        <v>1174.9000000000001</v>
      </c>
      <c r="Q80" s="39">
        <v>15.522</v>
      </c>
      <c r="R80" s="39">
        <v>6.0251282051282056</v>
      </c>
      <c r="S80" s="128">
        <v>0.75404420694680596</v>
      </c>
      <c r="T80" s="92">
        <v>3065.1</v>
      </c>
    </row>
    <row r="81" spans="1:22" ht="18.75">
      <c r="A81" s="7" t="s">
        <v>84</v>
      </c>
      <c r="B81" s="89">
        <v>179</v>
      </c>
      <c r="C81" s="51">
        <v>741</v>
      </c>
      <c r="D81" s="51">
        <v>164.1</v>
      </c>
      <c r="E81" s="63">
        <v>360.2</v>
      </c>
      <c r="F81" s="63">
        <v>811.09999999999991</v>
      </c>
      <c r="G81" s="63">
        <v>90</v>
      </c>
      <c r="H81" s="64"/>
      <c r="I81" s="64"/>
      <c r="J81" s="108">
        <v>154</v>
      </c>
      <c r="K81" s="6">
        <v>901</v>
      </c>
      <c r="L81" s="123">
        <v>3221.4</v>
      </c>
      <c r="M81" s="42">
        <v>41.6</v>
      </c>
      <c r="N81" s="138">
        <v>1261.3</v>
      </c>
      <c r="O81" s="125">
        <v>113.7</v>
      </c>
      <c r="P81" s="109">
        <v>1375</v>
      </c>
      <c r="Q81" s="39">
        <v>17.997</v>
      </c>
      <c r="R81" s="39">
        <v>7.6815642458100557</v>
      </c>
      <c r="S81" s="128">
        <v>0.8742773864464416</v>
      </c>
      <c r="T81" s="92">
        <v>3263</v>
      </c>
    </row>
    <row r="82" spans="1:22" ht="18.75">
      <c r="A82" s="120">
        <v>167</v>
      </c>
      <c r="B82" s="106">
        <v>179</v>
      </c>
      <c r="C82" s="52">
        <v>811.4</v>
      </c>
      <c r="D82" s="52">
        <v>179.7</v>
      </c>
      <c r="E82" s="65">
        <v>385.4</v>
      </c>
      <c r="F82" s="65">
        <v>723.7</v>
      </c>
      <c r="G82" s="65">
        <v>79.7</v>
      </c>
      <c r="H82" s="66"/>
      <c r="I82" s="66"/>
      <c r="J82" s="96">
        <v>154</v>
      </c>
      <c r="K82" s="97">
        <v>789.30000000000007</v>
      </c>
      <c r="L82" s="91">
        <v>3123.2</v>
      </c>
      <c r="M82" s="44">
        <v>35.9</v>
      </c>
      <c r="N82" s="68">
        <v>1188.8</v>
      </c>
      <c r="O82" s="100">
        <v>127.4</v>
      </c>
      <c r="P82" s="98">
        <v>1316.2</v>
      </c>
      <c r="Q82" s="163">
        <v>17.448</v>
      </c>
      <c r="R82" s="163">
        <v>7.3530726256983243</v>
      </c>
      <c r="S82" s="164">
        <v>0.84760748117561324</v>
      </c>
      <c r="T82" s="165">
        <v>3159.1</v>
      </c>
      <c r="V82" t="s">
        <v>336</v>
      </c>
    </row>
    <row r="83" spans="1:22" ht="18.75">
      <c r="A83" s="7" t="s">
        <v>87</v>
      </c>
      <c r="B83" s="89">
        <v>169</v>
      </c>
      <c r="C83" s="51">
        <v>741</v>
      </c>
      <c r="D83" s="51">
        <v>164.1</v>
      </c>
      <c r="E83" s="63">
        <v>360.2</v>
      </c>
      <c r="F83" s="63">
        <v>724.59999999999991</v>
      </c>
      <c r="G83" s="63">
        <v>146.9</v>
      </c>
      <c r="H83" s="64"/>
      <c r="I83" s="64"/>
      <c r="J83" s="108">
        <v>154</v>
      </c>
      <c r="K83" s="6">
        <v>744.4</v>
      </c>
      <c r="L83" s="123">
        <v>3035.2</v>
      </c>
      <c r="M83" s="42">
        <v>0</v>
      </c>
      <c r="N83" s="138">
        <v>1231.7</v>
      </c>
      <c r="O83" s="125">
        <v>108.4</v>
      </c>
      <c r="P83" s="109">
        <v>1340.1000000000001</v>
      </c>
      <c r="Q83" s="39">
        <v>17.96</v>
      </c>
      <c r="R83" s="39">
        <v>7.9295857988165688</v>
      </c>
      <c r="S83" s="128">
        <v>0.87247996113675008</v>
      </c>
      <c r="T83" s="92">
        <v>3035.2</v>
      </c>
    </row>
    <row r="84" spans="1:22" ht="18.75">
      <c r="A84" s="7" t="s">
        <v>88</v>
      </c>
      <c r="B84" s="89">
        <v>198</v>
      </c>
      <c r="C84" s="51">
        <v>811.4</v>
      </c>
      <c r="D84" s="51">
        <v>179.7</v>
      </c>
      <c r="E84" s="63">
        <v>386.4</v>
      </c>
      <c r="F84" s="63">
        <v>802</v>
      </c>
      <c r="G84" s="63">
        <v>110.8</v>
      </c>
      <c r="H84" s="64"/>
      <c r="I84" s="64"/>
      <c r="J84" s="108">
        <v>154</v>
      </c>
      <c r="K84" s="6">
        <v>955.80000000000007</v>
      </c>
      <c r="L84" s="123">
        <v>3400.1</v>
      </c>
      <c r="M84" s="42">
        <v>39.4</v>
      </c>
      <c r="N84" s="138">
        <v>1299.2</v>
      </c>
      <c r="O84" s="125">
        <v>111.6</v>
      </c>
      <c r="P84" s="109">
        <v>1410.8</v>
      </c>
      <c r="Q84" s="39">
        <v>17.172000000000001</v>
      </c>
      <c r="R84" s="39">
        <v>7.1252525252525247</v>
      </c>
      <c r="S84" s="128">
        <v>0.83419965994656298</v>
      </c>
      <c r="T84" s="92">
        <v>3439.5</v>
      </c>
    </row>
    <row r="85" spans="1:22" ht="18.75">
      <c r="A85" s="120">
        <v>185</v>
      </c>
      <c r="B85" s="106">
        <v>156</v>
      </c>
      <c r="C85" s="52">
        <v>741</v>
      </c>
      <c r="D85" s="52">
        <v>164.1</v>
      </c>
      <c r="E85" s="65">
        <v>243.6</v>
      </c>
      <c r="F85" s="65">
        <v>668.4</v>
      </c>
      <c r="G85" s="65">
        <v>75.3</v>
      </c>
      <c r="H85" s="66"/>
      <c r="I85" s="66"/>
      <c r="J85" s="96">
        <v>154</v>
      </c>
      <c r="K85" s="97">
        <v>2554.1</v>
      </c>
      <c r="L85" s="91">
        <v>4600.5</v>
      </c>
      <c r="M85" s="44">
        <v>33.9</v>
      </c>
      <c r="N85" s="68">
        <v>987.3</v>
      </c>
      <c r="O85" s="100">
        <v>121.5</v>
      </c>
      <c r="P85" s="98">
        <v>1108.8</v>
      </c>
      <c r="Q85" s="163">
        <v>29.49</v>
      </c>
      <c r="R85" s="163">
        <v>7.1076923076923073</v>
      </c>
      <c r="S85" s="164">
        <v>1.4325965508865677</v>
      </c>
      <c r="T85" s="165">
        <v>4634.3999999999996</v>
      </c>
    </row>
    <row r="86" spans="1:22" ht="18.75">
      <c r="A86" s="7" t="s">
        <v>89</v>
      </c>
      <c r="B86" s="89">
        <v>196</v>
      </c>
      <c r="C86" s="51">
        <v>952.1</v>
      </c>
      <c r="D86" s="51">
        <v>210.8</v>
      </c>
      <c r="E86" s="63">
        <v>587</v>
      </c>
      <c r="F86" s="63">
        <v>1037.3</v>
      </c>
      <c r="G86" s="63">
        <v>111.6</v>
      </c>
      <c r="H86" s="64"/>
      <c r="I86" s="64"/>
      <c r="J86" s="108">
        <v>229</v>
      </c>
      <c r="K86" s="6">
        <v>991.19999999999993</v>
      </c>
      <c r="L86" s="123">
        <v>4119</v>
      </c>
      <c r="M86" s="42">
        <v>26.4</v>
      </c>
      <c r="N86" s="138">
        <v>1735.8999999999999</v>
      </c>
      <c r="O86" s="125">
        <v>94</v>
      </c>
      <c r="P86" s="109">
        <v>1829.8999999999999</v>
      </c>
      <c r="Q86" s="39">
        <v>21.015000000000001</v>
      </c>
      <c r="R86" s="39">
        <v>9.3362244897959172</v>
      </c>
      <c r="S86" s="157">
        <v>1.0208889968423609</v>
      </c>
      <c r="T86" s="154">
        <v>4145.3999999999996</v>
      </c>
    </row>
    <row r="87" spans="1:22" ht="18.75">
      <c r="A87" s="7" t="s">
        <v>91</v>
      </c>
      <c r="B87" s="89">
        <v>199</v>
      </c>
      <c r="C87" s="51">
        <v>811.4</v>
      </c>
      <c r="D87" s="51">
        <v>179.7</v>
      </c>
      <c r="E87" s="65">
        <v>320</v>
      </c>
      <c r="F87" s="65">
        <v>792.6</v>
      </c>
      <c r="G87" s="65">
        <v>85.3</v>
      </c>
      <c r="H87" s="64"/>
      <c r="I87" s="64"/>
      <c r="J87" s="108">
        <v>154</v>
      </c>
      <c r="K87" s="6">
        <v>918.6</v>
      </c>
      <c r="L87" s="123">
        <v>3261.6</v>
      </c>
      <c r="M87" s="42">
        <v>27.5</v>
      </c>
      <c r="N87" s="138">
        <v>1197.8999999999999</v>
      </c>
      <c r="O87" s="125">
        <v>117.9</v>
      </c>
      <c r="P87" s="109">
        <v>1315.8</v>
      </c>
      <c r="Q87" s="39">
        <v>16.39</v>
      </c>
      <c r="R87" s="39">
        <v>6.6120603015075377</v>
      </c>
      <c r="S87" s="128">
        <v>0.79621083313092056</v>
      </c>
      <c r="T87" s="92">
        <v>3289.1</v>
      </c>
    </row>
    <row r="88" spans="1:22" ht="18.75">
      <c r="A88" s="120">
        <v>235</v>
      </c>
      <c r="B88" s="106">
        <v>171</v>
      </c>
      <c r="C88" s="52">
        <v>834.8</v>
      </c>
      <c r="D88" s="52">
        <v>184.8</v>
      </c>
      <c r="E88" s="65">
        <v>390.5</v>
      </c>
      <c r="F88" s="65">
        <v>587.79999999999995</v>
      </c>
      <c r="G88" s="65">
        <v>69.599999999999994</v>
      </c>
      <c r="H88" s="66"/>
      <c r="I88" s="66"/>
      <c r="J88" s="96">
        <v>154</v>
      </c>
      <c r="K88" s="97">
        <v>879.5</v>
      </c>
      <c r="L88" s="91">
        <v>3101</v>
      </c>
      <c r="M88" s="44">
        <v>27.9</v>
      </c>
      <c r="N88" s="68">
        <v>1047.8999999999999</v>
      </c>
      <c r="O88" s="100">
        <v>106</v>
      </c>
      <c r="P88" s="98">
        <v>1153.8999999999999</v>
      </c>
      <c r="Q88" s="163">
        <v>18.135000000000002</v>
      </c>
      <c r="R88" s="163">
        <v>6.7479532163742686</v>
      </c>
      <c r="S88" s="164">
        <v>0.88098129706096673</v>
      </c>
      <c r="T88" s="165">
        <v>3128.9</v>
      </c>
    </row>
    <row r="89" spans="1:22" ht="18.75">
      <c r="A89" s="7" t="s">
        <v>96</v>
      </c>
      <c r="B89" s="89">
        <v>161</v>
      </c>
      <c r="C89" s="51">
        <v>741</v>
      </c>
      <c r="D89" s="51">
        <v>164.1</v>
      </c>
      <c r="E89" s="63">
        <v>666.1</v>
      </c>
      <c r="F89" s="63">
        <v>407.6</v>
      </c>
      <c r="G89" s="63">
        <v>114.6</v>
      </c>
      <c r="H89" s="64"/>
      <c r="I89" s="64"/>
      <c r="J89" s="108">
        <v>154</v>
      </c>
      <c r="K89" s="6">
        <v>908.9</v>
      </c>
      <c r="L89" s="123">
        <v>3156.3</v>
      </c>
      <c r="M89" s="42">
        <v>22.2</v>
      </c>
      <c r="N89" s="138">
        <v>1188.3</v>
      </c>
      <c r="O89" s="125">
        <v>103.8</v>
      </c>
      <c r="P89" s="109">
        <v>1292.0999999999999</v>
      </c>
      <c r="Q89" s="39">
        <v>19.603999999999999</v>
      </c>
      <c r="R89" s="39">
        <v>8.0254658385093158</v>
      </c>
      <c r="S89" s="128">
        <v>0.95234393976196252</v>
      </c>
      <c r="T89" s="92">
        <v>3178.5</v>
      </c>
    </row>
    <row r="90" spans="1:22" ht="18.75">
      <c r="A90" s="7" t="s">
        <v>97</v>
      </c>
      <c r="B90" s="89">
        <v>164</v>
      </c>
      <c r="C90" s="51">
        <v>866.1</v>
      </c>
      <c r="D90" s="51">
        <v>191.8</v>
      </c>
      <c r="E90" s="63">
        <v>884.2</v>
      </c>
      <c r="F90" s="63">
        <v>520.29999999999995</v>
      </c>
      <c r="G90" s="63">
        <v>100.5</v>
      </c>
      <c r="H90" s="64"/>
      <c r="I90" s="64"/>
      <c r="J90" s="109">
        <v>154</v>
      </c>
      <c r="K90" s="42">
        <v>801</v>
      </c>
      <c r="L90" s="123">
        <v>3517.9</v>
      </c>
      <c r="M90" s="42">
        <v>17.8</v>
      </c>
      <c r="N90" s="138">
        <v>1505</v>
      </c>
      <c r="O90" s="125">
        <v>114.4</v>
      </c>
      <c r="P90" s="109">
        <v>1619.4</v>
      </c>
      <c r="Q90" s="39">
        <v>21.451000000000001</v>
      </c>
      <c r="R90" s="39">
        <v>9.8743902439024396</v>
      </c>
      <c r="S90" s="157">
        <v>1.0420694680592664</v>
      </c>
      <c r="T90" s="92">
        <v>3535.7000000000003</v>
      </c>
    </row>
    <row r="91" spans="1:22" ht="18.75">
      <c r="A91" s="120">
        <v>55</v>
      </c>
      <c r="B91" s="106">
        <v>162</v>
      </c>
      <c r="C91" s="52">
        <v>866.1</v>
      </c>
      <c r="D91" s="52">
        <v>191.8</v>
      </c>
      <c r="E91" s="65">
        <v>271</v>
      </c>
      <c r="F91" s="65">
        <v>601.9</v>
      </c>
      <c r="G91" s="65">
        <v>66.2</v>
      </c>
      <c r="H91" s="66"/>
      <c r="I91" s="66"/>
      <c r="J91" s="98">
        <v>154</v>
      </c>
      <c r="K91" s="44">
        <v>2732.5</v>
      </c>
      <c r="L91" s="91">
        <v>4883.5</v>
      </c>
      <c r="M91" s="44">
        <v>31.7</v>
      </c>
      <c r="N91" s="68">
        <v>939.1</v>
      </c>
      <c r="O91" s="100">
        <v>121.5</v>
      </c>
      <c r="P91" s="98">
        <v>1060.5999999999999</v>
      </c>
      <c r="Q91" s="163">
        <v>30.145</v>
      </c>
      <c r="R91" s="163">
        <v>6.5469135802469127</v>
      </c>
      <c r="S91" s="164">
        <v>1.4644158367743503</v>
      </c>
      <c r="T91" s="165">
        <v>4915.2</v>
      </c>
    </row>
    <row r="92" spans="1:22" ht="18.75">
      <c r="A92" s="7" t="s">
        <v>98</v>
      </c>
      <c r="B92" s="89">
        <v>187</v>
      </c>
      <c r="C92" s="51">
        <v>1286.5999999999999</v>
      </c>
      <c r="D92" s="51">
        <v>284.89999999999998</v>
      </c>
      <c r="E92" s="63">
        <v>319.60000000000002</v>
      </c>
      <c r="F92" s="63">
        <v>516.1</v>
      </c>
      <c r="G92" s="63">
        <v>51.4</v>
      </c>
      <c r="H92" s="64"/>
      <c r="I92" s="64"/>
      <c r="J92" s="109">
        <v>164</v>
      </c>
      <c r="K92" s="42">
        <v>850.1</v>
      </c>
      <c r="L92" s="123">
        <v>3472.7</v>
      </c>
      <c r="M92" s="42">
        <v>52.8</v>
      </c>
      <c r="N92" s="138">
        <v>887.1</v>
      </c>
      <c r="O92" s="125">
        <v>151.80000000000001</v>
      </c>
      <c r="P92" s="109">
        <v>1038.9000000000001</v>
      </c>
      <c r="Q92" s="39">
        <v>18.571000000000002</v>
      </c>
      <c r="R92" s="39">
        <v>5.5556149732620321</v>
      </c>
      <c r="S92" s="128">
        <v>0.90216176827787231</v>
      </c>
      <c r="T92" s="92">
        <v>3525.5</v>
      </c>
    </row>
    <row r="93" spans="1:22" ht="18.75">
      <c r="A93" s="7" t="s">
        <v>99</v>
      </c>
      <c r="B93" s="89">
        <v>178</v>
      </c>
      <c r="C93" s="51">
        <v>928.6</v>
      </c>
      <c r="D93" s="51">
        <v>205.6</v>
      </c>
      <c r="E93" s="63">
        <v>340.6</v>
      </c>
      <c r="F93" s="63">
        <v>524.9</v>
      </c>
      <c r="G93" s="63">
        <v>77.5</v>
      </c>
      <c r="H93" s="64"/>
      <c r="I93" s="64"/>
      <c r="J93" s="109">
        <v>154</v>
      </c>
      <c r="K93" s="42">
        <v>863.80000000000007</v>
      </c>
      <c r="L93" s="123">
        <v>3095</v>
      </c>
      <c r="M93" s="42">
        <v>26.8</v>
      </c>
      <c r="N93" s="138">
        <v>943</v>
      </c>
      <c r="O93" s="125">
        <v>126.5</v>
      </c>
      <c r="P93" s="109">
        <v>1069.5</v>
      </c>
      <c r="Q93" s="39">
        <v>17.388000000000002</v>
      </c>
      <c r="R93" s="39">
        <v>6.0084269662921352</v>
      </c>
      <c r="S93" s="128">
        <v>0.8446927374301676</v>
      </c>
      <c r="T93" s="92">
        <v>3121.8</v>
      </c>
    </row>
    <row r="94" spans="1:22" ht="18.75">
      <c r="A94" s="7" t="s">
        <v>101</v>
      </c>
      <c r="B94" s="89">
        <v>190</v>
      </c>
      <c r="C94" s="51">
        <v>999</v>
      </c>
      <c r="D94" s="51">
        <v>221.2</v>
      </c>
      <c r="E94" s="63">
        <v>379.9</v>
      </c>
      <c r="F94" s="63">
        <v>416.3</v>
      </c>
      <c r="G94" s="63">
        <v>58</v>
      </c>
      <c r="H94" s="64"/>
      <c r="I94" s="64"/>
      <c r="J94" s="109">
        <v>154</v>
      </c>
      <c r="K94" s="42">
        <v>991</v>
      </c>
      <c r="L94" s="123">
        <v>3219.4</v>
      </c>
      <c r="M94" s="42">
        <v>29.3</v>
      </c>
      <c r="N94" s="138">
        <v>854.2</v>
      </c>
      <c r="O94" s="125">
        <v>123.5</v>
      </c>
      <c r="P94" s="109">
        <v>977.7</v>
      </c>
      <c r="Q94" s="39">
        <v>16.943999999999999</v>
      </c>
      <c r="R94" s="39">
        <v>5.1457894736842107</v>
      </c>
      <c r="S94" s="128">
        <v>0.82312363371386921</v>
      </c>
      <c r="T94" s="92">
        <v>3248.7000000000003</v>
      </c>
    </row>
    <row r="95" spans="1:22" ht="18.75">
      <c r="A95" s="7" t="s">
        <v>102</v>
      </c>
      <c r="B95" s="89">
        <v>186</v>
      </c>
      <c r="C95" s="51">
        <v>873.9</v>
      </c>
      <c r="D95" s="51">
        <v>193.5</v>
      </c>
      <c r="E95" s="63">
        <v>163.69999999999999</v>
      </c>
      <c r="F95" s="63">
        <v>461.9</v>
      </c>
      <c r="G95" s="63">
        <v>60.3</v>
      </c>
      <c r="H95" s="64"/>
      <c r="I95" s="64"/>
      <c r="J95" s="109">
        <v>154</v>
      </c>
      <c r="K95" s="42">
        <v>842.30000000000007</v>
      </c>
      <c r="L95" s="123">
        <v>2749.6</v>
      </c>
      <c r="M95" s="42">
        <v>32</v>
      </c>
      <c r="N95" s="138">
        <v>685.89999999999986</v>
      </c>
      <c r="O95" s="125">
        <v>120</v>
      </c>
      <c r="P95" s="109">
        <v>805.89999999999986</v>
      </c>
      <c r="Q95" s="39">
        <v>14.782999999999999</v>
      </c>
      <c r="R95" s="39">
        <v>4.3327956989247305</v>
      </c>
      <c r="S95" s="128">
        <v>0.71814427981539952</v>
      </c>
      <c r="T95" s="92">
        <v>2781.6</v>
      </c>
    </row>
    <row r="96" spans="1:22" ht="18.75">
      <c r="A96" s="7" t="s">
        <v>106</v>
      </c>
      <c r="B96" s="89">
        <v>188</v>
      </c>
      <c r="C96" s="51">
        <v>967.7</v>
      </c>
      <c r="D96" s="51">
        <v>214.3</v>
      </c>
      <c r="E96" s="63">
        <v>314.3</v>
      </c>
      <c r="F96" s="63">
        <v>771.6</v>
      </c>
      <c r="G96" s="63">
        <v>94</v>
      </c>
      <c r="H96" s="64"/>
      <c r="I96" s="64"/>
      <c r="J96" s="109">
        <v>154</v>
      </c>
      <c r="K96" s="42">
        <v>928.40000000000009</v>
      </c>
      <c r="L96" s="123">
        <v>3444.3</v>
      </c>
      <c r="M96" s="42">
        <v>35.6</v>
      </c>
      <c r="N96" s="138">
        <v>1179.9000000000001</v>
      </c>
      <c r="O96" s="125">
        <v>139</v>
      </c>
      <c r="P96" s="109">
        <v>1318.9</v>
      </c>
      <c r="Q96" s="39">
        <v>18.321000000000002</v>
      </c>
      <c r="R96" s="39">
        <v>7.0154255319148939</v>
      </c>
      <c r="S96" s="128">
        <v>0.89001700267184847</v>
      </c>
      <c r="T96" s="92">
        <v>3479.9</v>
      </c>
    </row>
    <row r="97" spans="1:20" ht="18.75">
      <c r="A97" s="7" t="s">
        <v>107</v>
      </c>
      <c r="B97" s="89">
        <v>182</v>
      </c>
      <c r="C97" s="51">
        <v>967.7</v>
      </c>
      <c r="D97" s="51">
        <v>214.3</v>
      </c>
      <c r="E97" s="63">
        <v>334</v>
      </c>
      <c r="F97" s="63">
        <v>503</v>
      </c>
      <c r="G97" s="63">
        <v>99.3</v>
      </c>
      <c r="H97" s="64"/>
      <c r="I97" s="64"/>
      <c r="J97" s="109">
        <v>154</v>
      </c>
      <c r="K97" s="42">
        <v>879.40000000000009</v>
      </c>
      <c r="L97" s="123">
        <v>3151.7</v>
      </c>
      <c r="M97" s="42">
        <v>27.6</v>
      </c>
      <c r="N97" s="138">
        <v>936.3</v>
      </c>
      <c r="O97" s="125">
        <v>129.4</v>
      </c>
      <c r="P97" s="109">
        <v>1065.7</v>
      </c>
      <c r="Q97" s="39">
        <v>17.317</v>
      </c>
      <c r="R97" s="39">
        <v>5.855494505494506</v>
      </c>
      <c r="S97" s="128">
        <v>0.84124362399805686</v>
      </c>
      <c r="T97" s="92">
        <v>3179.2999999999997</v>
      </c>
    </row>
    <row r="98" spans="1:20" ht="18.75">
      <c r="A98" s="7" t="s">
        <v>108</v>
      </c>
      <c r="B98" s="89">
        <v>195</v>
      </c>
      <c r="C98" s="51">
        <v>952.1</v>
      </c>
      <c r="D98" s="51">
        <v>210.8</v>
      </c>
      <c r="E98" s="63">
        <v>322.89999999999998</v>
      </c>
      <c r="F98" s="63">
        <v>769.8</v>
      </c>
      <c r="G98" s="63">
        <v>91.1</v>
      </c>
      <c r="H98" s="64"/>
      <c r="I98" s="64"/>
      <c r="J98" s="109">
        <v>154</v>
      </c>
      <c r="K98" s="42">
        <v>856</v>
      </c>
      <c r="L98" s="123">
        <v>3356.7</v>
      </c>
      <c r="M98" s="42">
        <v>39.5</v>
      </c>
      <c r="N98" s="138">
        <v>1183.7999999999997</v>
      </c>
      <c r="O98" s="125">
        <v>135.80000000000001</v>
      </c>
      <c r="P98" s="109">
        <v>1319.5999999999997</v>
      </c>
      <c r="Q98" s="39">
        <v>17.213999999999999</v>
      </c>
      <c r="R98" s="39">
        <v>6.7671794871794857</v>
      </c>
      <c r="S98" s="128">
        <v>0.8362399805683749</v>
      </c>
      <c r="T98" s="92">
        <v>3396.2</v>
      </c>
    </row>
    <row r="99" spans="1:20" ht="18.75">
      <c r="A99" s="7" t="s">
        <v>109</v>
      </c>
      <c r="B99" s="89">
        <v>166</v>
      </c>
      <c r="C99" s="51">
        <v>873.9</v>
      </c>
      <c r="D99" s="51">
        <v>193.5</v>
      </c>
      <c r="E99" s="63">
        <v>390.9</v>
      </c>
      <c r="F99" s="63">
        <v>614.79999999999995</v>
      </c>
      <c r="G99" s="63">
        <v>71.5</v>
      </c>
      <c r="H99" s="64"/>
      <c r="I99" s="64"/>
      <c r="J99" s="109">
        <v>154</v>
      </c>
      <c r="K99" s="42">
        <v>810.9</v>
      </c>
      <c r="L99" s="123">
        <v>3109.5</v>
      </c>
      <c r="M99" s="42">
        <v>24.2</v>
      </c>
      <c r="N99" s="138">
        <v>1077.1999999999998</v>
      </c>
      <c r="O99" s="125">
        <v>124.9</v>
      </c>
      <c r="P99" s="109">
        <v>1202.0999999999999</v>
      </c>
      <c r="Q99" s="39">
        <v>18.731999999999999</v>
      </c>
      <c r="R99" s="39">
        <v>7.2415662650602401</v>
      </c>
      <c r="S99" s="128">
        <v>0.90998299732815147</v>
      </c>
      <c r="T99" s="92">
        <v>3133.7</v>
      </c>
    </row>
    <row r="100" spans="1:20" ht="18.75">
      <c r="A100" s="120">
        <v>201</v>
      </c>
      <c r="B100" s="106">
        <v>181</v>
      </c>
      <c r="C100" s="52">
        <v>936.4</v>
      </c>
      <c r="D100" s="52">
        <v>207.3</v>
      </c>
      <c r="E100" s="65">
        <v>343.8</v>
      </c>
      <c r="F100" s="65">
        <v>753.9</v>
      </c>
      <c r="G100" s="65">
        <v>78.5</v>
      </c>
      <c r="H100" s="66"/>
      <c r="I100" s="66"/>
      <c r="J100" s="98">
        <v>154</v>
      </c>
      <c r="K100" s="44">
        <v>922.69999999999993</v>
      </c>
      <c r="L100" s="91">
        <v>3396.6</v>
      </c>
      <c r="M100" s="44">
        <v>33.4</v>
      </c>
      <c r="N100" s="68">
        <v>1176.2</v>
      </c>
      <c r="O100" s="100">
        <v>121.5</v>
      </c>
      <c r="P100" s="98">
        <v>1297.7</v>
      </c>
      <c r="Q100" s="163">
        <v>18.765999999999998</v>
      </c>
      <c r="R100" s="163">
        <v>7.1696132596685089</v>
      </c>
      <c r="S100" s="164">
        <v>0.91163468545057069</v>
      </c>
      <c r="T100" s="165">
        <v>3430</v>
      </c>
    </row>
    <row r="101" spans="1:20" ht="18.75">
      <c r="A101" s="7" t="s">
        <v>110</v>
      </c>
      <c r="B101" s="89">
        <v>194</v>
      </c>
      <c r="C101" s="51">
        <v>913</v>
      </c>
      <c r="D101" s="51">
        <v>202.1</v>
      </c>
      <c r="E101" s="63">
        <v>268.5</v>
      </c>
      <c r="F101" s="63">
        <v>904.5</v>
      </c>
      <c r="G101" s="63">
        <v>86</v>
      </c>
      <c r="H101" s="64"/>
      <c r="I101" s="64"/>
      <c r="J101" s="109">
        <v>154</v>
      </c>
      <c r="K101" s="42">
        <v>908.8</v>
      </c>
      <c r="L101" s="123">
        <v>3436.9</v>
      </c>
      <c r="M101" s="42">
        <v>34</v>
      </c>
      <c r="N101" s="138">
        <v>1259</v>
      </c>
      <c r="O101" s="125">
        <v>134.80000000000001</v>
      </c>
      <c r="P101" s="109">
        <v>1393.8</v>
      </c>
      <c r="Q101" s="39">
        <v>17.716000000000001</v>
      </c>
      <c r="R101" s="39">
        <v>7.1845360824742261</v>
      </c>
      <c r="S101" s="128">
        <v>0.86062666990527081</v>
      </c>
      <c r="T101" s="92">
        <v>3470.9</v>
      </c>
    </row>
    <row r="102" spans="1:20" ht="18.75">
      <c r="A102" s="7" t="s">
        <v>111</v>
      </c>
      <c r="B102" s="89">
        <v>191</v>
      </c>
      <c r="C102" s="51">
        <v>959.9</v>
      </c>
      <c r="D102" s="51">
        <v>212.5</v>
      </c>
      <c r="E102" s="63">
        <v>406</v>
      </c>
      <c r="F102" s="63">
        <v>908.1</v>
      </c>
      <c r="G102" s="63">
        <v>108.9</v>
      </c>
      <c r="H102" s="64"/>
      <c r="I102" s="64"/>
      <c r="J102" s="109">
        <v>154</v>
      </c>
      <c r="K102" s="42">
        <v>995.1</v>
      </c>
      <c r="L102" s="123">
        <v>3744.5</v>
      </c>
      <c r="M102" s="42">
        <v>31.9</v>
      </c>
      <c r="N102" s="138">
        <v>1423</v>
      </c>
      <c r="O102" s="125">
        <v>84.1</v>
      </c>
      <c r="P102" s="109">
        <v>1507.1</v>
      </c>
      <c r="Q102" s="39">
        <v>19.605</v>
      </c>
      <c r="R102" s="39">
        <v>7.8905759162303664</v>
      </c>
      <c r="S102" s="128">
        <v>0.95239251882438669</v>
      </c>
      <c r="T102" s="92">
        <v>3776.4</v>
      </c>
    </row>
    <row r="103" spans="1:20" ht="18.75">
      <c r="A103" s="7" t="s">
        <v>113</v>
      </c>
      <c r="B103" s="89">
        <v>157</v>
      </c>
      <c r="C103" s="51">
        <v>858.3</v>
      </c>
      <c r="D103" s="51">
        <v>190</v>
      </c>
      <c r="E103" s="63">
        <v>360.2</v>
      </c>
      <c r="F103" s="63">
        <v>437.5</v>
      </c>
      <c r="G103" s="63">
        <v>24.1</v>
      </c>
      <c r="H103" s="64"/>
      <c r="I103" s="64">
        <v>67.599999999999994</v>
      </c>
      <c r="J103" s="109">
        <v>150</v>
      </c>
      <c r="K103" s="42">
        <v>717</v>
      </c>
      <c r="L103" s="123">
        <v>2804.7</v>
      </c>
      <c r="M103" s="42">
        <v>60.4</v>
      </c>
      <c r="N103" s="138">
        <v>889.40000000000009</v>
      </c>
      <c r="O103" s="125">
        <v>90.6</v>
      </c>
      <c r="P103" s="109">
        <v>980.00000000000011</v>
      </c>
      <c r="Q103" s="39">
        <v>17.864000000000001</v>
      </c>
      <c r="R103" s="39">
        <v>6.2420382165605099</v>
      </c>
      <c r="S103" s="128">
        <v>0.86781637114403687</v>
      </c>
      <c r="T103" s="92">
        <v>2865.1</v>
      </c>
    </row>
    <row r="104" spans="1:20" ht="18.75">
      <c r="A104" s="120">
        <v>6</v>
      </c>
      <c r="B104" s="106">
        <v>189</v>
      </c>
      <c r="C104" s="97">
        <v>1700.9</v>
      </c>
      <c r="D104" s="99">
        <v>376.6</v>
      </c>
      <c r="E104" s="68">
        <v>508.4</v>
      </c>
      <c r="F104" s="66">
        <v>1385.6</v>
      </c>
      <c r="G104" s="66">
        <v>165.6</v>
      </c>
      <c r="H104" s="66"/>
      <c r="I104" s="66"/>
      <c r="J104" s="98">
        <v>217</v>
      </c>
      <c r="K104" s="44">
        <v>1602.1</v>
      </c>
      <c r="L104" s="91">
        <v>5956.2</v>
      </c>
      <c r="M104" s="44">
        <v>62.6</v>
      </c>
      <c r="N104" s="68">
        <v>2059.6</v>
      </c>
      <c r="O104" s="100">
        <v>171.6</v>
      </c>
      <c r="P104" s="98">
        <v>2231.1999999999998</v>
      </c>
      <c r="Q104" s="163">
        <v>31.513999999999999</v>
      </c>
      <c r="R104" s="163">
        <v>11.805291005291004</v>
      </c>
      <c r="S104" s="164">
        <v>1.5309205732329365</v>
      </c>
      <c r="T104" s="165">
        <v>6018.8</v>
      </c>
    </row>
    <row r="105" spans="1:20" ht="18.75">
      <c r="A105" s="7" t="s">
        <v>116</v>
      </c>
      <c r="B105" s="89">
        <v>190</v>
      </c>
      <c r="C105" s="6">
        <v>881.7</v>
      </c>
      <c r="D105" s="110">
        <v>195.2</v>
      </c>
      <c r="E105" s="67">
        <v>471.5</v>
      </c>
      <c r="F105" s="64">
        <v>523.1</v>
      </c>
      <c r="G105" s="64">
        <v>66</v>
      </c>
      <c r="H105" s="64"/>
      <c r="I105" s="64"/>
      <c r="J105" s="109">
        <v>154</v>
      </c>
      <c r="K105" s="42">
        <v>1090.9000000000001</v>
      </c>
      <c r="L105" s="123">
        <v>3382.4</v>
      </c>
      <c r="M105" s="42">
        <v>25.3</v>
      </c>
      <c r="N105" s="138">
        <v>1060.5999999999999</v>
      </c>
      <c r="O105" s="125">
        <v>89.8</v>
      </c>
      <c r="P105" s="109">
        <v>1150.3999999999999</v>
      </c>
      <c r="Q105" s="39">
        <v>17.802</v>
      </c>
      <c r="R105" s="39">
        <v>6.0547368421052621</v>
      </c>
      <c r="S105" s="128">
        <v>0.86480446927374299</v>
      </c>
      <c r="T105" s="92">
        <v>3407.7000000000003</v>
      </c>
    </row>
    <row r="106" spans="1:20" ht="18.75">
      <c r="A106" s="7" t="s">
        <v>117</v>
      </c>
      <c r="B106" s="89">
        <v>170</v>
      </c>
      <c r="C106" s="6">
        <v>873.9</v>
      </c>
      <c r="D106" s="110">
        <v>193.5</v>
      </c>
      <c r="E106" s="67">
        <v>442</v>
      </c>
      <c r="F106" s="64">
        <v>346.9</v>
      </c>
      <c r="G106" s="64">
        <v>67.2</v>
      </c>
      <c r="H106" s="64"/>
      <c r="I106" s="64"/>
      <c r="J106" s="109">
        <v>154</v>
      </c>
      <c r="K106" s="42">
        <v>814.9</v>
      </c>
      <c r="L106" s="123">
        <v>2892.4</v>
      </c>
      <c r="M106" s="42">
        <v>24.8</v>
      </c>
      <c r="N106" s="138">
        <v>856.1</v>
      </c>
      <c r="O106" s="125">
        <v>101.5</v>
      </c>
      <c r="P106" s="109">
        <v>957.6</v>
      </c>
      <c r="Q106" s="39">
        <v>17.013999999999999</v>
      </c>
      <c r="R106" s="39">
        <v>5.6329411764705881</v>
      </c>
      <c r="S106" s="128">
        <v>0.82652416808355589</v>
      </c>
      <c r="T106" s="92">
        <v>2917.2000000000003</v>
      </c>
    </row>
    <row r="107" spans="1:20" ht="18.75">
      <c r="A107" s="7" t="s">
        <v>118</v>
      </c>
      <c r="B107" s="89">
        <v>153</v>
      </c>
      <c r="C107" s="6">
        <v>670.7</v>
      </c>
      <c r="D107" s="110">
        <v>148.5</v>
      </c>
      <c r="E107" s="67">
        <v>278.3</v>
      </c>
      <c r="F107" s="64">
        <v>312.2</v>
      </c>
      <c r="G107" s="64">
        <v>32.5</v>
      </c>
      <c r="H107" s="64"/>
      <c r="I107" s="64"/>
      <c r="J107" s="109">
        <v>150</v>
      </c>
      <c r="K107" s="42">
        <v>779.6</v>
      </c>
      <c r="L107" s="123">
        <v>2371.8000000000002</v>
      </c>
      <c r="M107" s="42">
        <v>34.9</v>
      </c>
      <c r="N107" s="138">
        <v>623</v>
      </c>
      <c r="O107" s="125">
        <v>106.6</v>
      </c>
      <c r="P107" s="109">
        <v>729.6</v>
      </c>
      <c r="Q107" s="39">
        <v>15.502000000000001</v>
      </c>
      <c r="R107" s="39">
        <v>4.7686274509803921</v>
      </c>
      <c r="S107" s="128">
        <v>0.75307262569832401</v>
      </c>
      <c r="T107" s="92">
        <v>2406.7000000000003</v>
      </c>
    </row>
    <row r="108" spans="1:20" ht="18.75">
      <c r="A108" s="7" t="s">
        <v>120</v>
      </c>
      <c r="B108" s="89">
        <v>191</v>
      </c>
      <c r="C108" s="6">
        <v>928.6</v>
      </c>
      <c r="D108" s="110">
        <v>205.6</v>
      </c>
      <c r="E108" s="67">
        <v>630.79999999999995</v>
      </c>
      <c r="F108" s="64">
        <v>381.6</v>
      </c>
      <c r="G108" s="64">
        <v>68.400000000000006</v>
      </c>
      <c r="H108" s="64"/>
      <c r="I108" s="64"/>
      <c r="J108" s="109">
        <v>154</v>
      </c>
      <c r="K108" s="42">
        <v>942.19999999999993</v>
      </c>
      <c r="L108" s="123">
        <v>3311.2</v>
      </c>
      <c r="M108" s="42">
        <v>25.7</v>
      </c>
      <c r="N108" s="138">
        <v>1080.8</v>
      </c>
      <c r="O108" s="125">
        <v>116.1</v>
      </c>
      <c r="P108" s="109">
        <v>1196.8999999999999</v>
      </c>
      <c r="Q108" s="39">
        <v>17.335999999999999</v>
      </c>
      <c r="R108" s="39">
        <v>6.2664921465968577</v>
      </c>
      <c r="S108" s="128">
        <v>0.84216662618411453</v>
      </c>
      <c r="T108" s="92">
        <v>3336.8999999999996</v>
      </c>
    </row>
    <row r="109" spans="1:20" ht="18.75">
      <c r="A109" s="7" t="s">
        <v>122</v>
      </c>
      <c r="B109" s="89">
        <v>182</v>
      </c>
      <c r="C109" s="6">
        <v>873.9</v>
      </c>
      <c r="D109" s="110">
        <v>193.5</v>
      </c>
      <c r="E109" s="67">
        <v>350.4</v>
      </c>
      <c r="F109" s="64">
        <v>530</v>
      </c>
      <c r="G109" s="64">
        <v>138.6</v>
      </c>
      <c r="H109" s="64"/>
      <c r="I109" s="64"/>
      <c r="J109" s="109">
        <v>154</v>
      </c>
      <c r="K109" s="42">
        <v>820.7</v>
      </c>
      <c r="L109" s="123">
        <v>3061.1</v>
      </c>
      <c r="M109" s="42">
        <v>45.6</v>
      </c>
      <c r="N109" s="138">
        <v>1019</v>
      </c>
      <c r="O109" s="125">
        <v>125</v>
      </c>
      <c r="P109" s="109">
        <v>1144</v>
      </c>
      <c r="Q109" s="39">
        <v>16.818999999999999</v>
      </c>
      <c r="R109" s="39">
        <v>6.2857142857142856</v>
      </c>
      <c r="S109" s="128">
        <v>0.8170512509108574</v>
      </c>
      <c r="T109" s="92">
        <v>3106.7</v>
      </c>
    </row>
    <row r="110" spans="1:20" ht="18.75">
      <c r="A110" s="7" t="s">
        <v>124</v>
      </c>
      <c r="B110" s="89">
        <v>185</v>
      </c>
      <c r="C110" s="6">
        <v>905.2</v>
      </c>
      <c r="D110" s="110">
        <v>200.4</v>
      </c>
      <c r="E110" s="67">
        <v>615.6</v>
      </c>
      <c r="F110" s="64">
        <v>468.3</v>
      </c>
      <c r="G110" s="64">
        <v>70.900000000000006</v>
      </c>
      <c r="H110" s="64"/>
      <c r="I110" s="64"/>
      <c r="J110" s="109">
        <v>154</v>
      </c>
      <c r="K110" s="42">
        <v>852</v>
      </c>
      <c r="L110" s="123">
        <v>3266.4</v>
      </c>
      <c r="M110" s="42">
        <v>26.2</v>
      </c>
      <c r="N110" s="138">
        <v>1154.8000000000002</v>
      </c>
      <c r="O110" s="125">
        <v>126</v>
      </c>
      <c r="P110" s="109">
        <v>1280.8000000000002</v>
      </c>
      <c r="Q110" s="39">
        <v>17.655999999999999</v>
      </c>
      <c r="R110" s="39">
        <v>6.9232432432432445</v>
      </c>
      <c r="S110" s="128">
        <v>0.85771192615982506</v>
      </c>
      <c r="T110" s="92">
        <v>3292.6</v>
      </c>
    </row>
    <row r="111" spans="1:20" ht="18.75">
      <c r="A111" s="7" t="s">
        <v>125</v>
      </c>
      <c r="B111" s="89">
        <v>197</v>
      </c>
      <c r="C111" s="6">
        <v>952.1</v>
      </c>
      <c r="D111" s="110">
        <v>210.8</v>
      </c>
      <c r="E111" s="67">
        <v>523.9</v>
      </c>
      <c r="F111" s="64">
        <v>398.9</v>
      </c>
      <c r="G111" s="64">
        <v>70.900000000000006</v>
      </c>
      <c r="H111" s="64"/>
      <c r="I111" s="64"/>
      <c r="J111" s="109">
        <v>154</v>
      </c>
      <c r="K111" s="42">
        <v>1112.5</v>
      </c>
      <c r="L111" s="123">
        <v>3423.1</v>
      </c>
      <c r="M111" s="42">
        <v>25.2</v>
      </c>
      <c r="N111" s="138">
        <v>993.69999999999993</v>
      </c>
      <c r="O111" s="125">
        <v>117.8</v>
      </c>
      <c r="P111" s="109">
        <v>1111.5</v>
      </c>
      <c r="Q111" s="39">
        <v>17.376000000000001</v>
      </c>
      <c r="R111" s="39">
        <v>5.6421319796954315</v>
      </c>
      <c r="S111" s="128">
        <v>0.84410978868107844</v>
      </c>
      <c r="T111" s="92">
        <v>3448.2999999999997</v>
      </c>
    </row>
    <row r="112" spans="1:20" ht="18.75">
      <c r="A112" s="7" t="s">
        <v>134</v>
      </c>
      <c r="B112" s="89">
        <v>192</v>
      </c>
      <c r="C112" s="62">
        <v>952.1</v>
      </c>
      <c r="D112" s="42">
        <v>210.8</v>
      </c>
      <c r="E112" s="67">
        <v>442.6</v>
      </c>
      <c r="F112" s="64">
        <v>607.1</v>
      </c>
      <c r="G112" s="64">
        <v>95.4</v>
      </c>
      <c r="H112" s="64"/>
      <c r="I112" s="64"/>
      <c r="J112" s="109">
        <v>154</v>
      </c>
      <c r="K112" s="42">
        <v>1114.5</v>
      </c>
      <c r="L112" s="123">
        <v>3576.5</v>
      </c>
      <c r="M112" s="42">
        <v>33.700000000000003</v>
      </c>
      <c r="N112" s="138">
        <v>1145.1000000000001</v>
      </c>
      <c r="O112" s="125">
        <v>130.9</v>
      </c>
      <c r="P112" s="109">
        <v>1276.0000000000002</v>
      </c>
      <c r="Q112" s="39">
        <v>18.628</v>
      </c>
      <c r="R112" s="39">
        <v>6.6458333333333348</v>
      </c>
      <c r="S112" s="128">
        <v>0.90493077483604567</v>
      </c>
      <c r="T112" s="92">
        <v>3610.2</v>
      </c>
    </row>
    <row r="113" spans="1:22" ht="18.75">
      <c r="A113" s="7" t="s">
        <v>135</v>
      </c>
      <c r="B113" s="89">
        <v>159</v>
      </c>
      <c r="C113" s="62">
        <v>866.1</v>
      </c>
      <c r="D113" s="42">
        <v>191.8</v>
      </c>
      <c r="E113" s="67">
        <v>425.7</v>
      </c>
      <c r="F113" s="64">
        <v>350.3</v>
      </c>
      <c r="G113" s="64">
        <v>71</v>
      </c>
      <c r="H113" s="64"/>
      <c r="I113" s="64"/>
      <c r="J113" s="109">
        <v>150</v>
      </c>
      <c r="K113" s="42">
        <v>903</v>
      </c>
      <c r="L113" s="123">
        <v>2957.9</v>
      </c>
      <c r="M113" s="42">
        <v>25.6</v>
      </c>
      <c r="N113" s="138">
        <v>847</v>
      </c>
      <c r="O113" s="125">
        <v>108.8</v>
      </c>
      <c r="P113" s="109">
        <v>955.8</v>
      </c>
      <c r="Q113" s="39">
        <v>18.603000000000002</v>
      </c>
      <c r="R113" s="39">
        <v>6.0113207547169809</v>
      </c>
      <c r="S113" s="128">
        <v>0.90371629827544331</v>
      </c>
      <c r="T113" s="92">
        <v>2983.5</v>
      </c>
    </row>
    <row r="114" spans="1:22" ht="18.75">
      <c r="A114" s="120">
        <v>148</v>
      </c>
      <c r="B114" s="106">
        <v>198</v>
      </c>
      <c r="C114" s="62">
        <v>1489.9</v>
      </c>
      <c r="D114" s="42">
        <v>329.9</v>
      </c>
      <c r="E114" s="68">
        <v>627</v>
      </c>
      <c r="F114" s="66">
        <v>711.2</v>
      </c>
      <c r="G114" s="66">
        <v>112.2</v>
      </c>
      <c r="H114" s="66"/>
      <c r="I114" s="66"/>
      <c r="J114" s="98">
        <v>217</v>
      </c>
      <c r="K114" s="44">
        <v>1126.3</v>
      </c>
      <c r="L114" s="91">
        <v>4613.5</v>
      </c>
      <c r="M114" s="44">
        <v>60</v>
      </c>
      <c r="N114" s="68">
        <v>1450.4</v>
      </c>
      <c r="O114" s="100">
        <v>159</v>
      </c>
      <c r="P114" s="98">
        <v>1609.4</v>
      </c>
      <c r="Q114" s="163">
        <v>23.300999999999998</v>
      </c>
      <c r="R114" s="163">
        <v>8.1282828282828294</v>
      </c>
      <c r="S114" s="164">
        <v>1.1319407335438425</v>
      </c>
      <c r="T114" s="165">
        <v>4673.5</v>
      </c>
    </row>
    <row r="115" spans="1:22" ht="18.75">
      <c r="A115" s="7" t="s">
        <v>142</v>
      </c>
      <c r="B115" s="89">
        <v>177</v>
      </c>
      <c r="C115" s="62">
        <v>879.6</v>
      </c>
      <c r="D115" s="42">
        <v>194.8</v>
      </c>
      <c r="E115" s="67">
        <v>479</v>
      </c>
      <c r="F115" s="64">
        <v>696</v>
      </c>
      <c r="G115" s="64">
        <v>94.9</v>
      </c>
      <c r="H115" s="64"/>
      <c r="I115" s="64"/>
      <c r="J115" s="109">
        <v>150</v>
      </c>
      <c r="K115" s="42">
        <v>932.3</v>
      </c>
      <c r="L115" s="123">
        <v>3426.6</v>
      </c>
      <c r="M115" s="42">
        <v>75</v>
      </c>
      <c r="N115" s="138">
        <v>1269.9000000000001</v>
      </c>
      <c r="O115" s="125">
        <v>94.3</v>
      </c>
      <c r="P115" s="109">
        <v>1364.2</v>
      </c>
      <c r="Q115" s="39">
        <v>19.359000000000002</v>
      </c>
      <c r="R115" s="39">
        <v>7.7073446327683621</v>
      </c>
      <c r="S115" s="128">
        <v>0.94044206946805931</v>
      </c>
      <c r="T115" s="92">
        <v>3501.6</v>
      </c>
    </row>
    <row r="116" spans="1:22" ht="18.75">
      <c r="A116" s="120">
        <v>210</v>
      </c>
      <c r="B116" s="106">
        <v>159</v>
      </c>
      <c r="C116" s="42">
        <v>1053.7</v>
      </c>
      <c r="D116" s="42">
        <v>233.3</v>
      </c>
      <c r="E116" s="68">
        <v>537.1</v>
      </c>
      <c r="F116" s="66">
        <v>1175.7</v>
      </c>
      <c r="G116" s="66">
        <v>92.8</v>
      </c>
      <c r="H116" s="66"/>
      <c r="I116" s="66"/>
      <c r="J116" s="98">
        <v>174</v>
      </c>
      <c r="K116" s="44">
        <v>936.4</v>
      </c>
      <c r="L116" s="91">
        <v>4203</v>
      </c>
      <c r="M116" s="44">
        <v>53.7</v>
      </c>
      <c r="N116" s="68">
        <v>1805.6000000000001</v>
      </c>
      <c r="O116" s="100">
        <v>110</v>
      </c>
      <c r="P116" s="98">
        <v>1915.6000000000001</v>
      </c>
      <c r="Q116" s="163">
        <v>26.434000000000001</v>
      </c>
      <c r="R116" s="163">
        <v>12.047798742138365</v>
      </c>
      <c r="S116" s="164">
        <v>1.2841389361185329</v>
      </c>
      <c r="T116" s="165">
        <v>4256.7</v>
      </c>
    </row>
    <row r="117" spans="1:22" ht="18.75">
      <c r="A117" s="7" t="s">
        <v>146</v>
      </c>
      <c r="B117" s="89">
        <v>199</v>
      </c>
      <c r="C117" s="42">
        <v>959.9</v>
      </c>
      <c r="D117" s="42">
        <v>212.5</v>
      </c>
      <c r="E117" s="67">
        <v>425.7</v>
      </c>
      <c r="F117" s="64">
        <v>827.5</v>
      </c>
      <c r="G117" s="64">
        <v>89.2</v>
      </c>
      <c r="H117" s="64"/>
      <c r="I117" s="64"/>
      <c r="J117" s="109">
        <v>154</v>
      </c>
      <c r="K117" s="42">
        <v>1079.2</v>
      </c>
      <c r="L117" s="123">
        <v>3748</v>
      </c>
      <c r="M117" s="42">
        <v>30.1</v>
      </c>
      <c r="N117" s="138">
        <v>1342.4</v>
      </c>
      <c r="O117" s="125">
        <v>123.9</v>
      </c>
      <c r="P117" s="109">
        <v>1466.3000000000002</v>
      </c>
      <c r="Q117" s="39">
        <v>18.834</v>
      </c>
      <c r="R117" s="39">
        <v>7.3683417085427143</v>
      </c>
      <c r="S117" s="128">
        <v>0.91493806169540925</v>
      </c>
      <c r="T117" s="92">
        <v>3778.1</v>
      </c>
    </row>
    <row r="118" spans="1:22" ht="18.75">
      <c r="A118" s="122" t="s">
        <v>160</v>
      </c>
      <c r="B118" s="89">
        <v>175</v>
      </c>
      <c r="C118" s="42">
        <v>873.9</v>
      </c>
      <c r="D118" s="42">
        <v>193.5</v>
      </c>
      <c r="E118" s="63">
        <v>438.8</v>
      </c>
      <c r="F118" s="63">
        <v>218.7</v>
      </c>
      <c r="G118" s="63">
        <v>86.7</v>
      </c>
      <c r="H118" s="69"/>
      <c r="I118" s="69"/>
      <c r="J118" s="42">
        <v>154</v>
      </c>
      <c r="K118" s="42">
        <v>871.6</v>
      </c>
      <c r="L118" s="123">
        <v>2837.2</v>
      </c>
      <c r="M118" s="6">
        <v>42.6</v>
      </c>
      <c r="N118" s="138">
        <v>744.2</v>
      </c>
      <c r="O118" s="125">
        <v>91.5</v>
      </c>
      <c r="P118" s="109">
        <v>835.7</v>
      </c>
      <c r="Q118" s="39">
        <v>16.213000000000001</v>
      </c>
      <c r="R118" s="39">
        <v>4.7754285714285718</v>
      </c>
      <c r="S118" s="128">
        <v>0.78761233908185568</v>
      </c>
      <c r="T118" s="92">
        <v>2879.7999999999997</v>
      </c>
    </row>
    <row r="119" spans="1:22">
      <c r="A119" s="226" t="s">
        <v>331</v>
      </c>
      <c r="B119" s="227"/>
      <c r="C119" s="227"/>
      <c r="D119" s="227"/>
      <c r="E119" s="227"/>
      <c r="F119" s="227"/>
      <c r="G119" s="227"/>
      <c r="H119" s="227"/>
      <c r="I119" s="227"/>
      <c r="J119" s="227"/>
      <c r="K119" s="227"/>
      <c r="L119" s="227"/>
      <c r="M119" s="227"/>
      <c r="N119" s="227"/>
      <c r="O119" s="227"/>
      <c r="P119" s="227"/>
      <c r="Q119" s="227"/>
      <c r="R119" s="227"/>
      <c r="S119" s="227"/>
      <c r="T119" s="227"/>
      <c r="U119" s="227"/>
    </row>
    <row r="120" spans="1:22" ht="18.75">
      <c r="A120" s="7" t="s">
        <v>67</v>
      </c>
      <c r="B120" s="89">
        <v>123</v>
      </c>
      <c r="C120" s="51">
        <v>647.20000000000005</v>
      </c>
      <c r="D120" s="51">
        <v>143.30000000000001</v>
      </c>
      <c r="E120" s="63">
        <v>275.10000000000002</v>
      </c>
      <c r="F120" s="63">
        <v>297.39999999999998</v>
      </c>
      <c r="G120" s="63">
        <v>82.4</v>
      </c>
      <c r="H120" s="64"/>
      <c r="I120" s="64"/>
      <c r="J120" s="108">
        <v>130</v>
      </c>
      <c r="K120" s="6">
        <f>527.2+40.8</f>
        <v>568</v>
      </c>
      <c r="L120" s="123">
        <f t="shared" ref="L120" si="0">ROUND(C120+D120+H120+J120+K120+F120+G120+E120,1)</f>
        <v>2143.4</v>
      </c>
      <c r="M120" s="42">
        <v>16.7</v>
      </c>
      <c r="N120" s="138">
        <f t="shared" ref="N120" si="1">E120+F120+G120+H120+I120</f>
        <v>654.9</v>
      </c>
      <c r="O120" s="125">
        <v>94.5</v>
      </c>
      <c r="P120" s="109">
        <f t="shared" ref="P120" si="2">N120+O120</f>
        <v>749.4</v>
      </c>
      <c r="Q120" s="39">
        <f t="shared" ref="Q120" si="3">ROUND(L120/B120,3)</f>
        <v>17.425999999999998</v>
      </c>
      <c r="R120" s="39">
        <f t="shared" ref="R120" si="4">P120/B120</f>
        <v>6.0926829268292684</v>
      </c>
      <c r="S120" s="128">
        <f t="shared" ref="S120" si="5">Q120/20.585</f>
        <v>0.84653874180228306</v>
      </c>
      <c r="T120" s="92">
        <f t="shared" ref="T120" si="6">L120+M120</f>
        <v>2160.1</v>
      </c>
    </row>
    <row r="121" spans="1:22" ht="18.75">
      <c r="A121" s="7" t="s">
        <v>103</v>
      </c>
      <c r="B121" s="89">
        <v>127</v>
      </c>
      <c r="C121" s="51">
        <v>827</v>
      </c>
      <c r="D121" s="51">
        <v>183.1</v>
      </c>
      <c r="E121" s="63">
        <v>189.9</v>
      </c>
      <c r="F121" s="63">
        <v>603.6</v>
      </c>
      <c r="G121" s="63">
        <v>52.3</v>
      </c>
      <c r="H121" s="64"/>
      <c r="I121" s="64"/>
      <c r="J121" s="109">
        <v>150</v>
      </c>
      <c r="K121" s="42">
        <v>728.6</v>
      </c>
      <c r="L121" s="123">
        <v>2734.5</v>
      </c>
      <c r="M121" s="42">
        <v>35.299999999999997</v>
      </c>
      <c r="N121" s="138">
        <v>845.8</v>
      </c>
      <c r="O121" s="125">
        <v>94.8</v>
      </c>
      <c r="P121" s="109">
        <v>940.59999999999991</v>
      </c>
      <c r="Q121" s="39">
        <v>21.530999999999999</v>
      </c>
      <c r="R121" s="39">
        <v>7.4062992125984248</v>
      </c>
      <c r="S121" s="157">
        <v>1.045955793053194</v>
      </c>
      <c r="T121" s="92">
        <v>2769.8</v>
      </c>
    </row>
    <row r="122" spans="1:22" ht="18.75">
      <c r="A122" s="7" t="s">
        <v>105</v>
      </c>
      <c r="B122" s="89">
        <v>118</v>
      </c>
      <c r="C122" s="51">
        <v>741</v>
      </c>
      <c r="D122" s="51">
        <v>164.1</v>
      </c>
      <c r="E122" s="63">
        <v>248.9</v>
      </c>
      <c r="F122" s="63">
        <v>450.3</v>
      </c>
      <c r="G122" s="63">
        <v>40.700000000000003</v>
      </c>
      <c r="H122" s="64"/>
      <c r="I122" s="64"/>
      <c r="J122" s="109">
        <v>130</v>
      </c>
      <c r="K122" s="42">
        <v>605.20000000000005</v>
      </c>
      <c r="L122" s="123">
        <v>2380.1999999999998</v>
      </c>
      <c r="M122" s="42">
        <v>18.600000000000001</v>
      </c>
      <c r="N122" s="138">
        <v>739.90000000000009</v>
      </c>
      <c r="O122" s="125">
        <v>102.9</v>
      </c>
      <c r="P122" s="109">
        <v>842.80000000000007</v>
      </c>
      <c r="Q122" s="39">
        <v>20.170999999999999</v>
      </c>
      <c r="R122" s="39">
        <v>7.1423728813559331</v>
      </c>
      <c r="S122" s="128">
        <v>0.97988826815642449</v>
      </c>
      <c r="T122" s="92">
        <v>2398.7999999999997</v>
      </c>
    </row>
    <row r="123" spans="1:22" ht="18.75">
      <c r="A123" s="120">
        <v>173</v>
      </c>
      <c r="B123" s="106">
        <v>105</v>
      </c>
      <c r="C123" s="52">
        <v>905.2</v>
      </c>
      <c r="D123" s="52">
        <v>200.4</v>
      </c>
      <c r="E123" s="65">
        <v>248.9</v>
      </c>
      <c r="F123" s="65">
        <v>766.3</v>
      </c>
      <c r="G123" s="65">
        <v>61.6</v>
      </c>
      <c r="H123" s="66"/>
      <c r="I123" s="66"/>
      <c r="J123" s="98">
        <v>154</v>
      </c>
      <c r="K123" s="44">
        <v>754.1</v>
      </c>
      <c r="L123" s="91">
        <v>3090.5</v>
      </c>
      <c r="M123" s="44">
        <v>27.6</v>
      </c>
      <c r="N123" s="68">
        <v>1076.8</v>
      </c>
      <c r="O123" s="100">
        <v>119</v>
      </c>
      <c r="P123" s="98">
        <v>1195.8</v>
      </c>
      <c r="Q123" s="163">
        <v>29.433</v>
      </c>
      <c r="R123" s="163">
        <v>11.388571428571428</v>
      </c>
      <c r="S123" s="164">
        <v>1.4298275443283943</v>
      </c>
      <c r="T123" s="165">
        <v>3118.1</v>
      </c>
    </row>
    <row r="124" spans="1:22" ht="18.75">
      <c r="A124" s="7" t="s">
        <v>114</v>
      </c>
      <c r="B124" s="89">
        <v>123</v>
      </c>
      <c r="C124" s="51">
        <v>772.3</v>
      </c>
      <c r="D124" s="51">
        <v>171</v>
      </c>
      <c r="E124" s="63">
        <v>216.1</v>
      </c>
      <c r="F124" s="63">
        <v>218.7</v>
      </c>
      <c r="G124" s="63">
        <v>33.299999999999997</v>
      </c>
      <c r="H124" s="64"/>
      <c r="I124" s="64"/>
      <c r="J124" s="109">
        <v>130</v>
      </c>
      <c r="K124" s="42">
        <v>509.3</v>
      </c>
      <c r="L124" s="123">
        <v>2050.6999999999998</v>
      </c>
      <c r="M124" s="42">
        <v>17</v>
      </c>
      <c r="N124" s="138">
        <v>468.09999999999997</v>
      </c>
      <c r="O124" s="125">
        <v>80.099999999999994</v>
      </c>
      <c r="P124" s="109">
        <v>548.19999999999993</v>
      </c>
      <c r="Q124" s="39">
        <v>16.672000000000001</v>
      </c>
      <c r="R124" s="39">
        <v>4.4569105691056903</v>
      </c>
      <c r="S124" s="128">
        <v>0.8099101287345154</v>
      </c>
      <c r="T124" s="92">
        <v>2067.6999999999998</v>
      </c>
      <c r="V124" t="s">
        <v>335</v>
      </c>
    </row>
    <row r="125" spans="1:22" ht="18.75">
      <c r="A125" s="7" t="s">
        <v>129</v>
      </c>
      <c r="B125" s="89">
        <v>113</v>
      </c>
      <c r="C125" s="42">
        <v>741</v>
      </c>
      <c r="D125" s="42">
        <v>164.1</v>
      </c>
      <c r="E125" s="67">
        <v>393</v>
      </c>
      <c r="F125" s="64">
        <v>433.7</v>
      </c>
      <c r="G125" s="64">
        <v>74.599999999999994</v>
      </c>
      <c r="H125" s="64"/>
      <c r="I125" s="64"/>
      <c r="J125" s="109">
        <v>130</v>
      </c>
      <c r="K125" s="42">
        <v>523</v>
      </c>
      <c r="L125" s="123">
        <v>2459.4</v>
      </c>
      <c r="M125" s="42">
        <v>27</v>
      </c>
      <c r="N125" s="138">
        <v>901.30000000000007</v>
      </c>
      <c r="O125" s="125">
        <v>95.2</v>
      </c>
      <c r="P125" s="109">
        <v>996.50000000000011</v>
      </c>
      <c r="Q125" s="39">
        <v>21.765000000000001</v>
      </c>
      <c r="R125" s="39">
        <v>8.8185840707964616</v>
      </c>
      <c r="S125" s="157">
        <v>1.0573232936604324</v>
      </c>
      <c r="T125" s="92">
        <v>2486.4</v>
      </c>
    </row>
    <row r="126" spans="1:22" ht="18.75">
      <c r="A126" s="7" t="s">
        <v>138</v>
      </c>
      <c r="B126" s="89">
        <v>146</v>
      </c>
      <c r="C126" s="62">
        <v>866.1</v>
      </c>
      <c r="D126" s="42">
        <v>191.8</v>
      </c>
      <c r="E126" s="67">
        <v>288.2</v>
      </c>
      <c r="F126" s="64">
        <v>747.8</v>
      </c>
      <c r="G126" s="64">
        <v>61.3</v>
      </c>
      <c r="H126" s="64"/>
      <c r="I126" s="64"/>
      <c r="J126" s="109">
        <v>150</v>
      </c>
      <c r="K126" s="42">
        <v>746.2</v>
      </c>
      <c r="L126" s="123">
        <v>3051.4</v>
      </c>
      <c r="M126" s="42">
        <v>28.8</v>
      </c>
      <c r="N126" s="138">
        <v>1097.3</v>
      </c>
      <c r="O126" s="125">
        <v>126.8</v>
      </c>
      <c r="P126" s="109">
        <v>1224.0999999999999</v>
      </c>
      <c r="Q126" s="39">
        <v>20.9</v>
      </c>
      <c r="R126" s="39">
        <v>8.3842465753424644</v>
      </c>
      <c r="S126" s="157">
        <v>1.0153024046635899</v>
      </c>
      <c r="T126" s="92">
        <v>3080.2000000000003</v>
      </c>
    </row>
    <row r="127" spans="1:22" ht="18.75">
      <c r="A127" s="120">
        <v>194</v>
      </c>
      <c r="B127" s="106">
        <v>136</v>
      </c>
      <c r="C127" s="42">
        <v>803.6</v>
      </c>
      <c r="D127" s="42">
        <v>177.9</v>
      </c>
      <c r="E127" s="68">
        <v>465</v>
      </c>
      <c r="F127" s="66">
        <v>468.3</v>
      </c>
      <c r="G127" s="66">
        <v>84.3</v>
      </c>
      <c r="H127" s="66"/>
      <c r="I127" s="66"/>
      <c r="J127" s="98">
        <v>150</v>
      </c>
      <c r="K127" s="44">
        <v>1189</v>
      </c>
      <c r="L127" s="91">
        <v>3338.1</v>
      </c>
      <c r="M127" s="44">
        <v>22.9</v>
      </c>
      <c r="N127" s="68">
        <v>1017.5999999999999</v>
      </c>
      <c r="O127" s="100">
        <v>119.3</v>
      </c>
      <c r="P127" s="98">
        <v>1136.8999999999999</v>
      </c>
      <c r="Q127" s="163">
        <v>24.545000000000002</v>
      </c>
      <c r="R127" s="163">
        <v>8.3595588235294116</v>
      </c>
      <c r="S127" s="164">
        <v>1.1923730871994171</v>
      </c>
      <c r="T127" s="165">
        <v>3361</v>
      </c>
    </row>
    <row r="128" spans="1:22" ht="18.75">
      <c r="A128" s="122" t="s">
        <v>158</v>
      </c>
      <c r="B128" s="89">
        <v>103</v>
      </c>
      <c r="C128" s="42">
        <v>733.2</v>
      </c>
      <c r="D128" s="42">
        <v>162.30000000000001</v>
      </c>
      <c r="E128" s="63">
        <v>411.3</v>
      </c>
      <c r="F128" s="63">
        <v>332.5</v>
      </c>
      <c r="G128" s="63">
        <v>39.700000000000003</v>
      </c>
      <c r="H128" s="69"/>
      <c r="I128" s="69"/>
      <c r="J128" s="42">
        <v>130</v>
      </c>
      <c r="K128" s="42">
        <v>554.29999999999995</v>
      </c>
      <c r="L128" s="123">
        <v>2363.3000000000002</v>
      </c>
      <c r="M128" s="6">
        <v>158</v>
      </c>
      <c r="N128" s="138">
        <v>783.5</v>
      </c>
      <c r="O128" s="125">
        <v>112.7</v>
      </c>
      <c r="P128" s="109">
        <v>896.2</v>
      </c>
      <c r="Q128" s="39">
        <v>22.945</v>
      </c>
      <c r="R128" s="39">
        <v>8.7009708737864084</v>
      </c>
      <c r="S128" s="157">
        <v>1.1146465873208646</v>
      </c>
      <c r="T128" s="92">
        <v>2521.3000000000002</v>
      </c>
    </row>
    <row r="129" spans="1:22">
      <c r="A129" s="159" t="s">
        <v>332</v>
      </c>
    </row>
    <row r="130" spans="1:22" ht="18.75">
      <c r="A130" s="120">
        <v>16</v>
      </c>
      <c r="B130" s="106">
        <v>82</v>
      </c>
      <c r="C130" s="52">
        <v>741</v>
      </c>
      <c r="D130" s="52">
        <v>164.1</v>
      </c>
      <c r="E130" s="65">
        <v>294.7</v>
      </c>
      <c r="F130" s="65">
        <v>384.9</v>
      </c>
      <c r="G130" s="65">
        <v>57.1</v>
      </c>
      <c r="H130" s="66"/>
      <c r="I130" s="66"/>
      <c r="J130" s="90">
        <v>154</v>
      </c>
      <c r="K130" s="90">
        <v>965.6</v>
      </c>
      <c r="L130" s="123">
        <v>2761.4</v>
      </c>
      <c r="M130" s="42">
        <v>31</v>
      </c>
      <c r="N130" s="138">
        <v>736.69999999999993</v>
      </c>
      <c r="O130" s="125">
        <v>113.7</v>
      </c>
      <c r="P130" s="109">
        <v>850.4</v>
      </c>
      <c r="Q130" s="39">
        <v>33.676000000000002</v>
      </c>
      <c r="R130" s="39">
        <v>10.370731707317074</v>
      </c>
      <c r="S130" s="157">
        <v>1.6359485061938306</v>
      </c>
      <c r="T130" s="92">
        <v>2792.4</v>
      </c>
    </row>
    <row r="131" spans="1:22" ht="18.75">
      <c r="A131" s="120">
        <v>75</v>
      </c>
      <c r="B131" s="106">
        <v>93</v>
      </c>
      <c r="C131" s="52">
        <v>741</v>
      </c>
      <c r="D131" s="52">
        <v>164.1</v>
      </c>
      <c r="E131" s="65">
        <v>294.7</v>
      </c>
      <c r="F131" s="65">
        <v>510.9</v>
      </c>
      <c r="G131" s="65">
        <v>52.7</v>
      </c>
      <c r="H131" s="66"/>
      <c r="I131" s="66"/>
      <c r="J131" s="96">
        <v>154</v>
      </c>
      <c r="K131" s="97">
        <v>556.19999999999993</v>
      </c>
      <c r="L131" s="123">
        <v>2473.6</v>
      </c>
      <c r="M131" s="42">
        <v>29.2</v>
      </c>
      <c r="N131" s="138">
        <v>858.3</v>
      </c>
      <c r="O131" s="125">
        <v>114.3</v>
      </c>
      <c r="P131" s="109">
        <v>972.59999999999991</v>
      </c>
      <c r="Q131" s="39">
        <v>26.597999999999999</v>
      </c>
      <c r="R131" s="39">
        <v>10.458064516129031</v>
      </c>
      <c r="S131" s="157">
        <v>1.2921059023560844</v>
      </c>
      <c r="T131" s="92">
        <v>2502.7999999999997</v>
      </c>
    </row>
    <row r="132" spans="1:22" ht="18.75">
      <c r="A132" s="120">
        <v>85</v>
      </c>
      <c r="B132" s="106">
        <v>87</v>
      </c>
      <c r="C132" s="52">
        <v>741</v>
      </c>
      <c r="D132" s="52">
        <v>164.1</v>
      </c>
      <c r="E132" s="65">
        <v>275.10000000000002</v>
      </c>
      <c r="F132" s="65">
        <v>515.1</v>
      </c>
      <c r="G132" s="65">
        <v>41.5</v>
      </c>
      <c r="H132" s="66"/>
      <c r="I132" s="66"/>
      <c r="J132" s="96">
        <v>154</v>
      </c>
      <c r="K132" s="97">
        <v>718.80000000000007</v>
      </c>
      <c r="L132" s="123">
        <v>2609.6</v>
      </c>
      <c r="M132" s="42">
        <v>33.299999999999997</v>
      </c>
      <c r="N132" s="138">
        <v>831.7</v>
      </c>
      <c r="O132" s="125">
        <v>95.2</v>
      </c>
      <c r="P132" s="109">
        <v>926.90000000000009</v>
      </c>
      <c r="Q132" s="39">
        <v>29.995000000000001</v>
      </c>
      <c r="R132" s="39">
        <v>10.654022988505748</v>
      </c>
      <c r="S132" s="157">
        <v>1.4571289774107359</v>
      </c>
      <c r="T132" s="92">
        <v>2642.9</v>
      </c>
    </row>
    <row r="133" spans="1:22" ht="18.75">
      <c r="A133" s="120">
        <v>106</v>
      </c>
      <c r="B133" s="106">
        <v>66</v>
      </c>
      <c r="C133" s="52">
        <v>694.1</v>
      </c>
      <c r="D133" s="52">
        <v>153.69999999999999</v>
      </c>
      <c r="E133" s="65">
        <v>219.4</v>
      </c>
      <c r="F133" s="65">
        <v>370.9</v>
      </c>
      <c r="G133" s="65">
        <v>38.1</v>
      </c>
      <c r="H133" s="66"/>
      <c r="I133" s="66"/>
      <c r="J133" s="96">
        <v>130</v>
      </c>
      <c r="K133" s="97">
        <v>382</v>
      </c>
      <c r="L133" s="123">
        <v>1988.2</v>
      </c>
      <c r="M133" s="42">
        <v>18.899999999999999</v>
      </c>
      <c r="N133" s="138">
        <v>628.4</v>
      </c>
      <c r="O133" s="125">
        <v>107.8</v>
      </c>
      <c r="P133" s="109">
        <v>736.19999999999993</v>
      </c>
      <c r="Q133" s="39">
        <v>30.123999999999999</v>
      </c>
      <c r="R133" s="39">
        <v>11.154545454545454</v>
      </c>
      <c r="S133" s="157">
        <v>1.4633956764634442</v>
      </c>
      <c r="T133" s="92">
        <v>2007.1000000000001</v>
      </c>
    </row>
    <row r="134" spans="1:22" ht="18.75">
      <c r="A134" s="120">
        <v>139</v>
      </c>
      <c r="B134" s="106">
        <v>92</v>
      </c>
      <c r="C134" s="52">
        <v>741</v>
      </c>
      <c r="D134" s="52">
        <v>164.1</v>
      </c>
      <c r="E134" s="65">
        <v>340.6</v>
      </c>
      <c r="F134" s="65">
        <v>519.70000000000005</v>
      </c>
      <c r="G134" s="65">
        <v>48</v>
      </c>
      <c r="H134" s="66"/>
      <c r="I134" s="66"/>
      <c r="J134" s="96">
        <v>154</v>
      </c>
      <c r="K134" s="97">
        <v>568</v>
      </c>
      <c r="L134" s="123">
        <v>2535.4</v>
      </c>
      <c r="M134" s="42">
        <v>31.3</v>
      </c>
      <c r="N134" s="138">
        <v>908.30000000000007</v>
      </c>
      <c r="O134" s="125">
        <v>110.7</v>
      </c>
      <c r="P134" s="109">
        <v>1019.0000000000001</v>
      </c>
      <c r="Q134" s="39">
        <v>27.559000000000001</v>
      </c>
      <c r="R134" s="39">
        <v>11.07608695652174</v>
      </c>
      <c r="S134" s="157">
        <v>1.3387903813456401</v>
      </c>
      <c r="T134" s="92">
        <v>2566.7000000000003</v>
      </c>
      <c r="U134" t="s">
        <v>333</v>
      </c>
      <c r="V134" t="s">
        <v>334</v>
      </c>
    </row>
    <row r="135" spans="1:22" ht="18.75">
      <c r="A135" s="120">
        <v>40</v>
      </c>
      <c r="B135" s="106">
        <v>51</v>
      </c>
      <c r="C135" s="52">
        <v>655</v>
      </c>
      <c r="D135" s="52">
        <v>145</v>
      </c>
      <c r="E135" s="65">
        <v>149</v>
      </c>
      <c r="F135" s="65">
        <v>246.7</v>
      </c>
      <c r="G135" s="65">
        <v>36.700000000000003</v>
      </c>
      <c r="H135" s="66"/>
      <c r="I135" s="66"/>
      <c r="J135" s="98">
        <v>130</v>
      </c>
      <c r="K135" s="44">
        <v>1151.7</v>
      </c>
      <c r="L135" s="123">
        <v>2514.1</v>
      </c>
      <c r="M135" s="42">
        <v>20.2</v>
      </c>
      <c r="N135" s="138">
        <v>432.4</v>
      </c>
      <c r="O135" s="125">
        <v>100.5</v>
      </c>
      <c r="P135" s="109">
        <v>532.9</v>
      </c>
      <c r="Q135" s="39">
        <v>49.295999999999999</v>
      </c>
      <c r="R135" s="39">
        <v>10.449019607843137</v>
      </c>
      <c r="S135" s="156">
        <v>2.3947534612581975</v>
      </c>
      <c r="T135" s="92">
        <v>2534.2999999999997</v>
      </c>
    </row>
    <row r="136" spans="1:22" ht="18.75">
      <c r="A136" s="120">
        <v>115</v>
      </c>
      <c r="B136" s="106">
        <v>58</v>
      </c>
      <c r="C136" s="52">
        <v>655</v>
      </c>
      <c r="D136" s="52">
        <v>145</v>
      </c>
      <c r="E136" s="65">
        <v>235.8</v>
      </c>
      <c r="F136" s="65">
        <v>390.3</v>
      </c>
      <c r="G136" s="65">
        <v>30.5</v>
      </c>
      <c r="H136" s="66"/>
      <c r="I136" s="66"/>
      <c r="J136" s="98">
        <v>130</v>
      </c>
      <c r="K136" s="44">
        <v>485.9</v>
      </c>
      <c r="L136" s="123">
        <v>2072.5</v>
      </c>
      <c r="M136" s="42">
        <v>26.7</v>
      </c>
      <c r="N136" s="138">
        <v>656.6</v>
      </c>
      <c r="O136" s="125">
        <v>82.5</v>
      </c>
      <c r="P136" s="109">
        <v>739.1</v>
      </c>
      <c r="Q136" s="39">
        <v>35.732999999999997</v>
      </c>
      <c r="R136" s="39">
        <v>12.743103448275862</v>
      </c>
      <c r="S136" s="157">
        <v>1.735875637600194</v>
      </c>
      <c r="T136" s="92">
        <v>2099.1999999999998</v>
      </c>
    </row>
    <row r="137" spans="1:22" ht="18.75">
      <c r="A137" s="120">
        <v>159</v>
      </c>
      <c r="B137" s="106">
        <v>70</v>
      </c>
      <c r="C137" s="52">
        <v>795.7</v>
      </c>
      <c r="D137" s="52">
        <v>176.2</v>
      </c>
      <c r="E137" s="65">
        <v>275.10000000000002</v>
      </c>
      <c r="F137" s="65">
        <v>488.1</v>
      </c>
      <c r="G137" s="65">
        <v>34.1</v>
      </c>
      <c r="H137" s="66"/>
      <c r="I137" s="66"/>
      <c r="J137" s="98">
        <v>150</v>
      </c>
      <c r="K137" s="44">
        <v>779.6</v>
      </c>
      <c r="L137" s="123">
        <v>2698.8</v>
      </c>
      <c r="M137" s="42">
        <v>28.5</v>
      </c>
      <c r="N137" s="138">
        <v>797.30000000000007</v>
      </c>
      <c r="O137" s="125">
        <v>115.5</v>
      </c>
      <c r="P137" s="109">
        <v>912.80000000000007</v>
      </c>
      <c r="Q137" s="39">
        <v>38.554000000000002</v>
      </c>
      <c r="R137" s="39">
        <v>13.040000000000001</v>
      </c>
      <c r="S137" s="157">
        <v>1.8729171726985669</v>
      </c>
      <c r="T137" s="92">
        <v>2727.3</v>
      </c>
    </row>
    <row r="138" spans="1:22" ht="18.75">
      <c r="A138" s="120">
        <v>84</v>
      </c>
      <c r="B138" s="106">
        <v>100</v>
      </c>
      <c r="C138" s="42">
        <v>834.8</v>
      </c>
      <c r="D138" s="42">
        <v>184.8</v>
      </c>
      <c r="E138" s="68">
        <v>404.1</v>
      </c>
      <c r="F138" s="66">
        <v>312.2</v>
      </c>
      <c r="G138" s="66">
        <v>78.900000000000006</v>
      </c>
      <c r="H138" s="66"/>
      <c r="I138" s="66"/>
      <c r="J138" s="98">
        <v>154</v>
      </c>
      <c r="K138" s="44">
        <v>752.1</v>
      </c>
      <c r="L138" s="123">
        <v>2720.9</v>
      </c>
      <c r="M138" s="42">
        <v>31.6</v>
      </c>
      <c r="N138" s="138">
        <v>795.19999999999993</v>
      </c>
      <c r="O138" s="125">
        <v>94.2</v>
      </c>
      <c r="P138" s="109">
        <v>889.4</v>
      </c>
      <c r="Q138" s="39">
        <v>27.209</v>
      </c>
      <c r="R138" s="39">
        <v>8.8940000000000001</v>
      </c>
      <c r="S138" s="157">
        <v>1.3217877094972066</v>
      </c>
      <c r="T138" s="92">
        <v>2752.5</v>
      </c>
    </row>
  </sheetData>
  <mergeCells count="5">
    <mergeCell ref="A2:B2"/>
    <mergeCell ref="A69:U69"/>
    <mergeCell ref="A119:U119"/>
    <mergeCell ref="A50:T50"/>
    <mergeCell ref="A45:T4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P164"/>
  <sheetViews>
    <sheetView workbookViewId="0">
      <selection sqref="A1:XFD1048576"/>
    </sheetView>
  </sheetViews>
  <sheetFormatPr defaultRowHeight="15"/>
  <cols>
    <col min="1" max="1" width="5.28515625" customWidth="1"/>
    <col min="2" max="2" width="56.7109375" customWidth="1"/>
    <col min="3" max="3" width="10.85546875" customWidth="1"/>
    <col min="4" max="4" width="13.7109375" customWidth="1"/>
    <col min="5" max="5" width="15.42578125" customWidth="1"/>
    <col min="6" max="6" width="12.28515625" customWidth="1"/>
    <col min="7" max="8" width="14.42578125" customWidth="1"/>
    <col min="9" max="9" width="10.5703125" customWidth="1"/>
    <col min="10" max="10" width="11" customWidth="1"/>
    <col min="11" max="11" width="14.5703125" customWidth="1"/>
  </cols>
  <sheetData>
    <row r="1" spans="1:16">
      <c r="D1" s="25"/>
      <c r="E1" s="25"/>
      <c r="F1" s="25"/>
      <c r="I1" t="s">
        <v>288</v>
      </c>
      <c r="K1" s="25" t="s">
        <v>60</v>
      </c>
    </row>
    <row r="2" spans="1:16" ht="15.75" customHeight="1">
      <c r="B2" s="200" t="s">
        <v>279</v>
      </c>
      <c r="C2" s="200"/>
      <c r="D2" s="200"/>
      <c r="E2" s="200"/>
      <c r="F2" s="200"/>
      <c r="G2" s="200"/>
      <c r="H2" s="200"/>
      <c r="I2" s="200"/>
      <c r="J2" s="200"/>
    </row>
    <row r="3" spans="1:16" ht="13.5" customHeight="1">
      <c r="B3" s="200"/>
      <c r="C3" s="200"/>
      <c r="D3" s="200"/>
      <c r="E3" s="200"/>
      <c r="F3" s="200"/>
      <c r="G3" s="200"/>
      <c r="H3" s="200"/>
      <c r="I3" s="200"/>
      <c r="J3" s="200"/>
    </row>
    <row r="4" spans="1:16" ht="15.75" hidden="1" customHeight="1">
      <c r="B4" s="200"/>
      <c r="C4" s="200"/>
      <c r="D4" s="200"/>
      <c r="E4" s="200"/>
      <c r="F4" s="200"/>
      <c r="G4" s="200"/>
      <c r="H4" s="200"/>
      <c r="I4" s="200"/>
      <c r="J4" s="200"/>
    </row>
    <row r="5" spans="1:16" ht="15.75">
      <c r="B5" s="20"/>
      <c r="C5" s="20"/>
      <c r="D5" s="20"/>
    </row>
    <row r="6" spans="1:16" ht="210">
      <c r="A6" s="38" t="s">
        <v>259</v>
      </c>
      <c r="B6" s="28" t="s">
        <v>24</v>
      </c>
      <c r="C6" s="28" t="s">
        <v>256</v>
      </c>
      <c r="D6" s="28" t="s">
        <v>2</v>
      </c>
      <c r="E6" s="29" t="s">
        <v>257</v>
      </c>
      <c r="F6" s="28" t="s">
        <v>256</v>
      </c>
      <c r="G6" s="28" t="s">
        <v>2</v>
      </c>
      <c r="H6" s="29" t="s">
        <v>257</v>
      </c>
      <c r="I6" s="28" t="s">
        <v>256</v>
      </c>
      <c r="J6" s="28" t="s">
        <v>2</v>
      </c>
      <c r="K6" s="29" t="s">
        <v>257</v>
      </c>
    </row>
    <row r="7" spans="1:16" ht="15.75" thickBot="1">
      <c r="A7" s="21"/>
      <c r="B7" s="2">
        <v>1</v>
      </c>
      <c r="C7" s="61">
        <v>2</v>
      </c>
      <c r="D7" s="61">
        <v>3</v>
      </c>
      <c r="E7" s="33">
        <v>4</v>
      </c>
      <c r="F7" s="33">
        <v>5</v>
      </c>
      <c r="G7" s="61">
        <v>6</v>
      </c>
      <c r="H7" s="33">
        <v>7</v>
      </c>
      <c r="I7" s="33">
        <v>8</v>
      </c>
      <c r="J7" s="61">
        <v>9</v>
      </c>
      <c r="K7" s="33">
        <v>10</v>
      </c>
    </row>
    <row r="8" spans="1:16" ht="15.75" thickBot="1">
      <c r="A8" s="21"/>
      <c r="B8" s="55"/>
      <c r="C8" s="204" t="s">
        <v>61</v>
      </c>
      <c r="D8" s="205"/>
      <c r="E8" s="206"/>
      <c r="F8" s="204" t="s">
        <v>62</v>
      </c>
      <c r="G8" s="205"/>
      <c r="H8" s="206"/>
      <c r="I8" s="204" t="s">
        <v>278</v>
      </c>
      <c r="J8" s="205"/>
      <c r="K8" s="206"/>
    </row>
    <row r="9" spans="1:16" ht="20.25" customHeight="1">
      <c r="A9" s="21"/>
      <c r="B9" s="202" t="s">
        <v>277</v>
      </c>
      <c r="C9" s="203"/>
      <c r="D9" s="203"/>
      <c r="E9" s="203"/>
      <c r="F9" s="203"/>
      <c r="G9" s="203"/>
      <c r="H9" s="203"/>
      <c r="I9" s="203"/>
      <c r="J9" s="203"/>
      <c r="K9" s="203"/>
    </row>
    <row r="10" spans="1:16" ht="20.25" customHeight="1">
      <c r="A10" s="21"/>
      <c r="B10" s="201" t="s">
        <v>280</v>
      </c>
      <c r="C10" s="201"/>
      <c r="D10" s="201"/>
      <c r="E10" s="201"/>
      <c r="F10" s="201"/>
      <c r="G10" s="201"/>
      <c r="H10" s="201"/>
      <c r="I10" s="201"/>
      <c r="J10" s="201"/>
      <c r="K10" s="201"/>
      <c r="L10" s="56"/>
    </row>
    <row r="11" spans="1:16" ht="47.25">
      <c r="A11" s="21">
        <v>1</v>
      </c>
      <c r="B11" s="14" t="s">
        <v>186</v>
      </c>
      <c r="C11" s="1"/>
      <c r="D11" s="39">
        <v>1.1417576452460032</v>
      </c>
      <c r="E11" s="39">
        <f>C11+D11</f>
        <v>1.1417576452460032</v>
      </c>
      <c r="F11" s="7"/>
      <c r="G11" s="58">
        <v>1.1588266462944168</v>
      </c>
      <c r="H11" s="58">
        <f>G11</f>
        <v>1.1588266462944168</v>
      </c>
      <c r="I11" s="9"/>
      <c r="J11" s="58">
        <v>1.1695956836144559</v>
      </c>
      <c r="K11" s="58">
        <f>J11</f>
        <v>1.1695956836144559</v>
      </c>
      <c r="P11" s="19">
        <f>D11*173.67</f>
        <v>198.28905024987336</v>
      </c>
    </row>
    <row r="12" spans="1:16" ht="47.25">
      <c r="A12" s="21">
        <v>2</v>
      </c>
      <c r="B12" s="14" t="s">
        <v>187</v>
      </c>
      <c r="C12" s="1"/>
      <c r="D12" s="39">
        <v>1.2161492630559976</v>
      </c>
      <c r="E12" s="39">
        <f t="shared" ref="E12:E74" si="0">C12+D12</f>
        <v>1.2161492630559976</v>
      </c>
      <c r="F12" s="7"/>
      <c r="G12" s="58">
        <v>1.1903570799357051</v>
      </c>
      <c r="H12" s="58">
        <f t="shared" ref="H12:H74" si="1">G12</f>
        <v>1.1903570799357051</v>
      </c>
      <c r="I12" s="9"/>
      <c r="J12" s="58">
        <v>1.2174533363066711</v>
      </c>
      <c r="K12" s="58">
        <f t="shared" ref="K12:K74" si="2">J12</f>
        <v>1.2174533363066711</v>
      </c>
      <c r="P12" s="19">
        <f t="shared" ref="P12:P75" si="3">D12*173.67</f>
        <v>211.20864251493509</v>
      </c>
    </row>
    <row r="13" spans="1:16" ht="31.5">
      <c r="A13" s="21">
        <v>3</v>
      </c>
      <c r="B13" s="14" t="s">
        <v>188</v>
      </c>
      <c r="C13" s="1"/>
      <c r="D13" s="39">
        <v>0.93204235265700108</v>
      </c>
      <c r="E13" s="39">
        <f t="shared" si="0"/>
        <v>0.93204235265700108</v>
      </c>
      <c r="F13" s="7"/>
      <c r="G13" s="58">
        <v>0.91868877582204944</v>
      </c>
      <c r="H13" s="58">
        <f t="shared" si="1"/>
        <v>0.91868877582204944</v>
      </c>
      <c r="I13" s="9"/>
      <c r="J13" s="58">
        <v>0.96026964371595536</v>
      </c>
      <c r="K13" s="58">
        <f t="shared" si="2"/>
        <v>0.96026964371595536</v>
      </c>
      <c r="P13" s="19">
        <f t="shared" si="3"/>
        <v>161.86779538594138</v>
      </c>
    </row>
    <row r="14" spans="1:16" ht="47.25">
      <c r="A14" s="21">
        <v>4</v>
      </c>
      <c r="B14" s="14" t="s">
        <v>26</v>
      </c>
      <c r="C14" s="1"/>
      <c r="D14" s="39">
        <v>1.0387216239186399</v>
      </c>
      <c r="E14" s="39">
        <f t="shared" si="0"/>
        <v>1.0387216239186399</v>
      </c>
      <c r="F14" s="7"/>
      <c r="G14" s="58">
        <v>1.0236558468418546</v>
      </c>
      <c r="H14" s="58">
        <f t="shared" si="1"/>
        <v>1.0236558468418546</v>
      </c>
      <c r="I14" s="9"/>
      <c r="J14" s="58">
        <v>1.0555222730072016</v>
      </c>
      <c r="K14" s="58">
        <f t="shared" si="2"/>
        <v>1.0555222730072016</v>
      </c>
      <c r="P14" s="19">
        <f t="shared" si="3"/>
        <v>180.39478442595018</v>
      </c>
    </row>
    <row r="15" spans="1:16" ht="47.25">
      <c r="A15" s="21">
        <v>5</v>
      </c>
      <c r="B15" s="14" t="s">
        <v>27</v>
      </c>
      <c r="C15" s="1"/>
      <c r="D15" s="39">
        <v>0.93207013640127778</v>
      </c>
      <c r="E15" s="39">
        <f t="shared" si="0"/>
        <v>0.93207013640127778</v>
      </c>
      <c r="F15" s="7"/>
      <c r="G15" s="58">
        <v>0.91735045134122251</v>
      </c>
      <c r="H15" s="58">
        <f t="shared" si="1"/>
        <v>0.91735045134122251</v>
      </c>
      <c r="I15" s="9"/>
      <c r="J15" s="58">
        <v>0.95073329756824854</v>
      </c>
      <c r="K15" s="58">
        <f t="shared" si="2"/>
        <v>0.95073329756824854</v>
      </c>
      <c r="P15" s="19">
        <f t="shared" si="3"/>
        <v>161.87262058880989</v>
      </c>
    </row>
    <row r="16" spans="1:16" ht="47.25">
      <c r="A16" s="21">
        <v>6</v>
      </c>
      <c r="B16" s="14" t="s">
        <v>189</v>
      </c>
      <c r="C16" s="1"/>
      <c r="D16" s="39">
        <v>0.99636135338505227</v>
      </c>
      <c r="E16" s="39">
        <f t="shared" si="0"/>
        <v>0.99636135338505227</v>
      </c>
      <c r="F16" s="7"/>
      <c r="G16" s="58">
        <v>0.98859587639894497</v>
      </c>
      <c r="H16" s="58">
        <f t="shared" si="1"/>
        <v>0.98859587639894497</v>
      </c>
      <c r="I16" s="9"/>
      <c r="J16" s="58">
        <v>1.0114358436456286</v>
      </c>
      <c r="K16" s="58">
        <f t="shared" si="2"/>
        <v>1.0114358436456286</v>
      </c>
      <c r="P16" s="19">
        <f t="shared" si="3"/>
        <v>173.038076242382</v>
      </c>
    </row>
    <row r="17" spans="1:16" ht="47.25">
      <c r="A17" s="21">
        <v>7</v>
      </c>
      <c r="B17" s="14" t="s">
        <v>190</v>
      </c>
      <c r="C17" s="1"/>
      <c r="D17" s="39">
        <v>1.0461486733447862</v>
      </c>
      <c r="E17" s="39">
        <f t="shared" si="0"/>
        <v>1.0461486733447862</v>
      </c>
      <c r="F17" s="7"/>
      <c r="G17" s="58">
        <v>1.0299368991113373</v>
      </c>
      <c r="H17" s="58">
        <f t="shared" si="1"/>
        <v>1.0299368991113373</v>
      </c>
      <c r="I17" s="9"/>
      <c r="J17" s="58">
        <v>1.0535964950571024</v>
      </c>
      <c r="K17" s="58">
        <f t="shared" si="2"/>
        <v>1.0535964950571024</v>
      </c>
      <c r="P17" s="19">
        <f t="shared" si="3"/>
        <v>181.68464009978902</v>
      </c>
    </row>
    <row r="18" spans="1:16" ht="31.5">
      <c r="A18" s="21">
        <v>8</v>
      </c>
      <c r="B18" s="14" t="s">
        <v>34</v>
      </c>
      <c r="C18" s="1"/>
      <c r="D18" s="39">
        <v>0.97885417155350007</v>
      </c>
      <c r="E18" s="39">
        <f t="shared" si="0"/>
        <v>0.97885417155350007</v>
      </c>
      <c r="F18" s="7"/>
      <c r="G18" s="58">
        <v>0.98204051270562498</v>
      </c>
      <c r="H18" s="58">
        <f t="shared" si="1"/>
        <v>0.98204051270562498</v>
      </c>
      <c r="I18" s="9"/>
      <c r="J18" s="58">
        <v>0.99949289804292873</v>
      </c>
      <c r="K18" s="58">
        <f t="shared" si="2"/>
        <v>0.99949289804292873</v>
      </c>
      <c r="P18" s="19">
        <f t="shared" si="3"/>
        <v>169.99760397369636</v>
      </c>
    </row>
    <row r="19" spans="1:16" ht="31.5">
      <c r="A19" s="21">
        <v>9</v>
      </c>
      <c r="B19" s="13" t="s">
        <v>244</v>
      </c>
      <c r="C19" s="1"/>
      <c r="D19" s="39">
        <v>0.86899999999999999</v>
      </c>
      <c r="E19" s="39">
        <f t="shared" si="0"/>
        <v>0.86899999999999999</v>
      </c>
      <c r="F19" s="7"/>
      <c r="G19" s="58">
        <v>0.88900000000000001</v>
      </c>
      <c r="H19" s="58">
        <f t="shared" si="1"/>
        <v>0.88900000000000001</v>
      </c>
      <c r="I19" s="9"/>
      <c r="J19" s="58">
        <v>0.9</v>
      </c>
      <c r="K19" s="58">
        <f t="shared" si="2"/>
        <v>0.9</v>
      </c>
      <c r="P19" s="19">
        <f t="shared" si="3"/>
        <v>150.91923</v>
      </c>
    </row>
    <row r="20" spans="1:16" ht="31.5">
      <c r="A20" s="21">
        <v>10</v>
      </c>
      <c r="B20" s="13" t="s">
        <v>251</v>
      </c>
      <c r="C20" s="1"/>
      <c r="D20" s="39">
        <v>1.1649665799173721</v>
      </c>
      <c r="E20" s="39">
        <f t="shared" si="0"/>
        <v>1.1649665799173721</v>
      </c>
      <c r="F20" s="7"/>
      <c r="G20" s="58">
        <v>1.1441965667784959</v>
      </c>
      <c r="H20" s="58">
        <f t="shared" si="1"/>
        <v>1.1441965667784959</v>
      </c>
      <c r="I20" s="9"/>
      <c r="J20" s="58">
        <v>1.1646165481362405</v>
      </c>
      <c r="K20" s="58">
        <f t="shared" si="2"/>
        <v>1.1646165481362405</v>
      </c>
      <c r="P20" s="19">
        <f t="shared" si="3"/>
        <v>202.31974593424999</v>
      </c>
    </row>
    <row r="21" spans="1:16" ht="47.25">
      <c r="A21" s="21">
        <v>11</v>
      </c>
      <c r="B21" s="13" t="s">
        <v>247</v>
      </c>
      <c r="C21" s="1"/>
      <c r="D21" s="39">
        <v>1.0389999999999999</v>
      </c>
      <c r="E21" s="39">
        <f t="shared" si="0"/>
        <v>1.0389999999999999</v>
      </c>
      <c r="F21" s="7"/>
      <c r="G21" s="58">
        <v>1.077</v>
      </c>
      <c r="H21" s="58">
        <f t="shared" si="1"/>
        <v>1.077</v>
      </c>
      <c r="I21" s="9"/>
      <c r="J21" s="58">
        <v>1.071</v>
      </c>
      <c r="K21" s="58">
        <f t="shared" si="2"/>
        <v>1.071</v>
      </c>
      <c r="P21" s="19">
        <f t="shared" si="3"/>
        <v>180.44312999999997</v>
      </c>
    </row>
    <row r="22" spans="1:16" ht="47.25">
      <c r="A22" s="21">
        <v>12</v>
      </c>
      <c r="B22" s="14" t="s">
        <v>192</v>
      </c>
      <c r="C22" s="1"/>
      <c r="D22" s="39">
        <v>1.0804152710993993</v>
      </c>
      <c r="E22" s="39">
        <f t="shared" si="0"/>
        <v>1.0804152710993993</v>
      </c>
      <c r="F22" s="7"/>
      <c r="G22" s="58">
        <v>1.1171826296208112</v>
      </c>
      <c r="H22" s="58">
        <f t="shared" si="1"/>
        <v>1.1171826296208112</v>
      </c>
      <c r="I22" s="9"/>
      <c r="J22" s="58">
        <v>1.1184222721521024</v>
      </c>
      <c r="K22" s="58">
        <f t="shared" si="2"/>
        <v>1.1184222721521024</v>
      </c>
      <c r="P22" s="19">
        <f t="shared" si="3"/>
        <v>187.63572013183267</v>
      </c>
    </row>
    <row r="23" spans="1:16" ht="31.5">
      <c r="A23" s="21">
        <v>13</v>
      </c>
      <c r="B23" s="14" t="s">
        <v>193</v>
      </c>
      <c r="C23" s="1"/>
      <c r="D23" s="39">
        <v>1.1016276169417554</v>
      </c>
      <c r="E23" s="39">
        <f t="shared" si="0"/>
        <v>1.1016276169417554</v>
      </c>
      <c r="F23" s="7"/>
      <c r="G23" s="58">
        <v>1.1370738737114929</v>
      </c>
      <c r="H23" s="58">
        <f t="shared" si="1"/>
        <v>1.1370738737114929</v>
      </c>
      <c r="I23" s="9"/>
      <c r="J23" s="58">
        <v>1.143013788460479</v>
      </c>
      <c r="K23" s="58">
        <f t="shared" si="2"/>
        <v>1.143013788460479</v>
      </c>
      <c r="P23" s="19">
        <f t="shared" si="3"/>
        <v>191.31966823427464</v>
      </c>
    </row>
    <row r="24" spans="1:16" ht="47.25">
      <c r="A24" s="21">
        <v>14</v>
      </c>
      <c r="B24" s="13" t="s">
        <v>181</v>
      </c>
      <c r="C24" s="1"/>
      <c r="D24" s="39">
        <v>1.105</v>
      </c>
      <c r="E24" s="39">
        <f t="shared" si="0"/>
        <v>1.105</v>
      </c>
      <c r="F24" s="7"/>
      <c r="G24" s="58">
        <v>1.0820000000000001</v>
      </c>
      <c r="H24" s="58">
        <f t="shared" si="1"/>
        <v>1.0820000000000001</v>
      </c>
      <c r="I24" s="9"/>
      <c r="J24" s="58">
        <v>1.1000000000000001</v>
      </c>
      <c r="K24" s="58">
        <f t="shared" si="2"/>
        <v>1.1000000000000001</v>
      </c>
      <c r="P24" s="19">
        <f t="shared" si="3"/>
        <v>191.90534999999997</v>
      </c>
    </row>
    <row r="25" spans="1:16" ht="47.25">
      <c r="A25" s="21">
        <v>15</v>
      </c>
      <c r="B25" s="14" t="s">
        <v>194</v>
      </c>
      <c r="C25" s="1"/>
      <c r="D25" s="39">
        <v>1.034578374508599</v>
      </c>
      <c r="E25" s="39">
        <f t="shared" si="0"/>
        <v>1.034578374508599</v>
      </c>
      <c r="F25" s="7"/>
      <c r="G25" s="58">
        <v>1.0757131847185941</v>
      </c>
      <c r="H25" s="58">
        <f t="shared" si="1"/>
        <v>1.0757131847185941</v>
      </c>
      <c r="I25" s="9"/>
      <c r="J25" s="58">
        <v>1.0763949292917736</v>
      </c>
      <c r="K25" s="58">
        <f t="shared" si="2"/>
        <v>1.0763949292917736</v>
      </c>
      <c r="P25" s="19">
        <f t="shared" si="3"/>
        <v>179.67522630090838</v>
      </c>
    </row>
    <row r="26" spans="1:16" ht="47.25">
      <c r="A26" s="21">
        <v>16</v>
      </c>
      <c r="B26" s="14" t="s">
        <v>195</v>
      </c>
      <c r="C26" s="1"/>
      <c r="D26" s="39">
        <v>1.1370472667324765</v>
      </c>
      <c r="E26" s="39">
        <f t="shared" si="0"/>
        <v>1.1370472667324765</v>
      </c>
      <c r="F26" s="7"/>
      <c r="G26" s="58">
        <v>1.1381549435483362</v>
      </c>
      <c r="H26" s="58">
        <f t="shared" si="1"/>
        <v>1.1381549435483362</v>
      </c>
      <c r="I26" s="9"/>
      <c r="J26" s="58">
        <v>1.1505845127025953</v>
      </c>
      <c r="K26" s="58">
        <f t="shared" si="2"/>
        <v>1.1505845127025953</v>
      </c>
      <c r="P26" s="19">
        <f t="shared" si="3"/>
        <v>197.47099881342916</v>
      </c>
    </row>
    <row r="27" spans="1:16" ht="31.5">
      <c r="A27" s="21">
        <v>17</v>
      </c>
      <c r="B27" s="14" t="s">
        <v>196</v>
      </c>
      <c r="C27" s="1"/>
      <c r="D27" s="39">
        <v>1.0786618084777937</v>
      </c>
      <c r="E27" s="39">
        <f t="shared" si="0"/>
        <v>1.0786618084777937</v>
      </c>
      <c r="F27" s="7"/>
      <c r="G27" s="58">
        <v>1.1018036988891611</v>
      </c>
      <c r="H27" s="58">
        <f t="shared" si="1"/>
        <v>1.1018036988891611</v>
      </c>
      <c r="I27" s="9"/>
      <c r="J27" s="58">
        <v>1.1118184562912381</v>
      </c>
      <c r="K27" s="58">
        <f t="shared" si="2"/>
        <v>1.1118184562912381</v>
      </c>
      <c r="P27" s="19">
        <f t="shared" si="3"/>
        <v>187.33119627833841</v>
      </c>
    </row>
    <row r="28" spans="1:16" ht="47.25">
      <c r="A28" s="21">
        <v>18</v>
      </c>
      <c r="B28" s="14" t="s">
        <v>28</v>
      </c>
      <c r="C28" s="1"/>
      <c r="D28" s="39">
        <v>1.0200520495767234</v>
      </c>
      <c r="E28" s="39">
        <f t="shared" si="0"/>
        <v>1.0200520495767234</v>
      </c>
      <c r="F28" s="7"/>
      <c r="G28" s="58">
        <v>1.0088957966097412</v>
      </c>
      <c r="H28" s="58">
        <f t="shared" si="1"/>
        <v>1.0088957966097412</v>
      </c>
      <c r="I28" s="9"/>
      <c r="J28" s="58">
        <v>1.0247201223627402</v>
      </c>
      <c r="K28" s="58">
        <f t="shared" si="2"/>
        <v>1.0247201223627402</v>
      </c>
      <c r="P28" s="19">
        <f t="shared" si="3"/>
        <v>177.15243944998954</v>
      </c>
    </row>
    <row r="29" spans="1:16" ht="31.5">
      <c r="A29" s="21">
        <v>19</v>
      </c>
      <c r="B29" s="14" t="s">
        <v>197</v>
      </c>
      <c r="C29" s="1"/>
      <c r="D29" s="39">
        <v>1.0907199124761997</v>
      </c>
      <c r="E29" s="39">
        <f t="shared" si="0"/>
        <v>1.0907199124761997</v>
      </c>
      <c r="F29" s="7"/>
      <c r="G29" s="58">
        <v>1.1077135742738924</v>
      </c>
      <c r="H29" s="58">
        <f t="shared" si="1"/>
        <v>1.1077135742738924</v>
      </c>
      <c r="I29" s="9"/>
      <c r="J29" s="58">
        <v>1.1111147917311925</v>
      </c>
      <c r="K29" s="58">
        <f t="shared" si="2"/>
        <v>1.1111147917311925</v>
      </c>
      <c r="P29" s="19">
        <f t="shared" si="3"/>
        <v>189.42532719974159</v>
      </c>
    </row>
    <row r="30" spans="1:16" ht="47.25">
      <c r="A30" s="21">
        <v>20</v>
      </c>
      <c r="B30" s="14" t="s">
        <v>198</v>
      </c>
      <c r="C30" s="1"/>
      <c r="D30" s="39">
        <v>1.0289891842205656</v>
      </c>
      <c r="E30" s="39">
        <f t="shared" si="0"/>
        <v>1.0289891842205656</v>
      </c>
      <c r="F30" s="7"/>
      <c r="G30" s="58">
        <v>1.0364389294998291</v>
      </c>
      <c r="H30" s="58">
        <f t="shared" si="1"/>
        <v>1.0364389294998291</v>
      </c>
      <c r="I30" s="9"/>
      <c r="J30" s="58">
        <v>1.0502123599481337</v>
      </c>
      <c r="K30" s="58">
        <f t="shared" si="2"/>
        <v>1.0502123599481337</v>
      </c>
      <c r="P30" s="19">
        <f t="shared" si="3"/>
        <v>178.70455162358562</v>
      </c>
    </row>
    <row r="31" spans="1:16" ht="31.5">
      <c r="A31" s="21">
        <v>21</v>
      </c>
      <c r="B31" s="13" t="s">
        <v>182</v>
      </c>
      <c r="C31" s="1"/>
      <c r="D31" s="39">
        <v>1.0760000000000001</v>
      </c>
      <c r="E31" s="39">
        <f t="shared" si="0"/>
        <v>1.0760000000000001</v>
      </c>
      <c r="F31" s="7"/>
      <c r="G31" s="58">
        <v>1.077</v>
      </c>
      <c r="H31" s="58">
        <f t="shared" si="1"/>
        <v>1.077</v>
      </c>
      <c r="I31" s="9"/>
      <c r="J31" s="58">
        <v>1.095</v>
      </c>
      <c r="K31" s="58">
        <f t="shared" si="2"/>
        <v>1.095</v>
      </c>
      <c r="P31" s="19">
        <f t="shared" si="3"/>
        <v>186.86892</v>
      </c>
    </row>
    <row r="32" spans="1:16" ht="47.25">
      <c r="A32" s="21">
        <v>22</v>
      </c>
      <c r="B32" s="14" t="s">
        <v>199</v>
      </c>
      <c r="C32" s="1"/>
      <c r="D32" s="39">
        <v>1.0404094329549762</v>
      </c>
      <c r="E32" s="39">
        <f t="shared" si="0"/>
        <v>1.0404094329549762</v>
      </c>
      <c r="F32" s="7"/>
      <c r="G32" s="58">
        <v>1.0551907885064313</v>
      </c>
      <c r="H32" s="58">
        <f t="shared" si="1"/>
        <v>1.0551907885064313</v>
      </c>
      <c r="I32" s="9"/>
      <c r="J32" s="58">
        <v>1.0711487785770244</v>
      </c>
      <c r="K32" s="58">
        <f t="shared" si="2"/>
        <v>1.0711487785770244</v>
      </c>
      <c r="P32" s="19">
        <f t="shared" si="3"/>
        <v>180.68790622129072</v>
      </c>
    </row>
    <row r="33" spans="1:16" ht="47.25">
      <c r="A33" s="21">
        <v>23</v>
      </c>
      <c r="B33" s="14" t="s">
        <v>29</v>
      </c>
      <c r="C33" s="1"/>
      <c r="D33" s="39">
        <v>1.1114979980583386</v>
      </c>
      <c r="E33" s="39">
        <f t="shared" si="0"/>
        <v>1.1114979980583386</v>
      </c>
      <c r="F33" s="7"/>
      <c r="G33" s="58">
        <v>1.1336497521319069</v>
      </c>
      <c r="H33" s="58">
        <f t="shared" si="1"/>
        <v>1.1336497521319069</v>
      </c>
      <c r="I33" s="9"/>
      <c r="J33" s="58">
        <v>1.1264899547429281</v>
      </c>
      <c r="K33" s="58">
        <f t="shared" si="2"/>
        <v>1.1264899547429281</v>
      </c>
      <c r="P33" s="19">
        <f t="shared" si="3"/>
        <v>193.03385732279165</v>
      </c>
    </row>
    <row r="34" spans="1:16" ht="47.25">
      <c r="A34" s="21">
        <v>24</v>
      </c>
      <c r="B34" s="13" t="s">
        <v>176</v>
      </c>
      <c r="C34" s="1"/>
      <c r="D34" s="39">
        <v>1.1619999999999999</v>
      </c>
      <c r="E34" s="39">
        <f t="shared" si="0"/>
        <v>1.1619999999999999</v>
      </c>
      <c r="F34" s="7"/>
      <c r="G34" s="58">
        <v>1.1910000000000001</v>
      </c>
      <c r="H34" s="58">
        <f t="shared" si="1"/>
        <v>1.1910000000000001</v>
      </c>
      <c r="I34" s="9"/>
      <c r="J34" s="58">
        <v>1.1839999999999999</v>
      </c>
      <c r="K34" s="58">
        <f t="shared" si="2"/>
        <v>1.1839999999999999</v>
      </c>
      <c r="P34" s="19">
        <f t="shared" si="3"/>
        <v>201.80453999999997</v>
      </c>
    </row>
    <row r="35" spans="1:16" ht="31.5">
      <c r="A35" s="21">
        <v>25</v>
      </c>
      <c r="B35" s="14" t="s">
        <v>200</v>
      </c>
      <c r="C35" s="1"/>
      <c r="D35" s="39">
        <v>1.0506496129567193</v>
      </c>
      <c r="E35" s="39">
        <f t="shared" si="0"/>
        <v>1.0506496129567193</v>
      </c>
      <c r="F35" s="7"/>
      <c r="G35" s="58">
        <v>1.0775504291549771</v>
      </c>
      <c r="H35" s="58">
        <f t="shared" si="1"/>
        <v>1.0775504291549771</v>
      </c>
      <c r="I35" s="9"/>
      <c r="J35" s="58">
        <v>1.0698482394726005</v>
      </c>
      <c r="K35" s="58">
        <f t="shared" si="2"/>
        <v>1.0698482394726005</v>
      </c>
      <c r="P35" s="19">
        <f t="shared" si="3"/>
        <v>182.46631828219344</v>
      </c>
    </row>
    <row r="36" spans="1:16" ht="47.25">
      <c r="A36" s="21">
        <v>26</v>
      </c>
      <c r="B36" s="14" t="s">
        <v>201</v>
      </c>
      <c r="C36" s="1"/>
      <c r="D36" s="39">
        <v>1.0293289775725722</v>
      </c>
      <c r="E36" s="39">
        <f t="shared" si="0"/>
        <v>1.0293289775725722</v>
      </c>
      <c r="F36" s="7"/>
      <c r="G36" s="58">
        <v>1.0485653951409806</v>
      </c>
      <c r="H36" s="58">
        <f t="shared" si="1"/>
        <v>1.0485653951409806</v>
      </c>
      <c r="I36" s="9"/>
      <c r="J36" s="58">
        <v>1.0513602686924208</v>
      </c>
      <c r="K36" s="58">
        <f t="shared" si="2"/>
        <v>1.0513602686924208</v>
      </c>
      <c r="P36" s="19">
        <f t="shared" si="3"/>
        <v>178.7635635350286</v>
      </c>
    </row>
    <row r="37" spans="1:16" ht="47.25">
      <c r="A37" s="21">
        <v>27</v>
      </c>
      <c r="B37" s="14" t="s">
        <v>202</v>
      </c>
      <c r="C37" s="1"/>
      <c r="D37" s="39">
        <v>1.157844580607132</v>
      </c>
      <c r="E37" s="39">
        <f t="shared" si="0"/>
        <v>1.157844580607132</v>
      </c>
      <c r="F37" s="7"/>
      <c r="G37" s="58">
        <v>1.1849826022067627</v>
      </c>
      <c r="H37" s="58">
        <f t="shared" si="1"/>
        <v>1.1849826022067627</v>
      </c>
      <c r="I37" s="9"/>
      <c r="J37" s="58">
        <v>1.1762415024867305</v>
      </c>
      <c r="K37" s="58">
        <f t="shared" si="2"/>
        <v>1.1762415024867305</v>
      </c>
      <c r="P37" s="19">
        <f t="shared" si="3"/>
        <v>201.08286831404061</v>
      </c>
    </row>
    <row r="38" spans="1:16" ht="47.25">
      <c r="A38" s="21">
        <v>28</v>
      </c>
      <c r="B38" s="14" t="s">
        <v>30</v>
      </c>
      <c r="C38" s="1"/>
      <c r="D38" s="39">
        <v>1.1602378217859477</v>
      </c>
      <c r="E38" s="39">
        <f t="shared" si="0"/>
        <v>1.1602378217859477</v>
      </c>
      <c r="F38" s="7"/>
      <c r="G38" s="58">
        <v>1.1772603640223382</v>
      </c>
      <c r="H38" s="58">
        <f t="shared" si="1"/>
        <v>1.1772603640223382</v>
      </c>
      <c r="I38" s="9"/>
      <c r="J38" s="58">
        <v>1.1601980563414933</v>
      </c>
      <c r="K38" s="58">
        <f t="shared" si="2"/>
        <v>1.1601980563414933</v>
      </c>
      <c r="P38" s="19">
        <f t="shared" si="3"/>
        <v>201.49850250956553</v>
      </c>
    </row>
    <row r="39" spans="1:16" ht="31.5">
      <c r="A39" s="21">
        <v>29</v>
      </c>
      <c r="B39" s="13" t="s">
        <v>250</v>
      </c>
      <c r="C39" s="1"/>
      <c r="D39" s="39">
        <v>2.0990000000000002</v>
      </c>
      <c r="E39" s="39">
        <f t="shared" si="0"/>
        <v>2.0990000000000002</v>
      </c>
      <c r="F39" s="7"/>
      <c r="G39" s="58">
        <v>1.6339999999999999</v>
      </c>
      <c r="H39" s="58">
        <f t="shared" si="1"/>
        <v>1.6339999999999999</v>
      </c>
      <c r="I39" s="9"/>
      <c r="J39" s="58">
        <v>1.679</v>
      </c>
      <c r="K39" s="58">
        <f t="shared" si="2"/>
        <v>1.679</v>
      </c>
      <c r="P39" s="19">
        <f t="shared" si="3"/>
        <v>364.53333000000003</v>
      </c>
    </row>
    <row r="40" spans="1:16" ht="47.25">
      <c r="A40" s="21">
        <v>30</v>
      </c>
      <c r="B40" s="14" t="s">
        <v>31</v>
      </c>
      <c r="C40" s="1"/>
      <c r="D40" s="39">
        <v>1.2182057535314981</v>
      </c>
      <c r="E40" s="39">
        <f t="shared" si="0"/>
        <v>1.2182057535314981</v>
      </c>
      <c r="F40" s="7"/>
      <c r="G40" s="58">
        <v>1.1946701413986192</v>
      </c>
      <c r="H40" s="58">
        <f t="shared" si="1"/>
        <v>1.1946701413986192</v>
      </c>
      <c r="I40" s="9"/>
      <c r="J40" s="58">
        <v>1.1882046926538166</v>
      </c>
      <c r="K40" s="58">
        <f t="shared" si="2"/>
        <v>1.1882046926538166</v>
      </c>
      <c r="P40" s="19">
        <f t="shared" si="3"/>
        <v>211.56579321581526</v>
      </c>
    </row>
    <row r="41" spans="1:16" ht="31.5">
      <c r="A41" s="21">
        <v>31</v>
      </c>
      <c r="B41" s="13" t="s">
        <v>177</v>
      </c>
      <c r="C41" s="1"/>
      <c r="D41" s="39">
        <v>0.91700000000000004</v>
      </c>
      <c r="E41" s="39">
        <f t="shared" si="0"/>
        <v>0.91700000000000004</v>
      </c>
      <c r="F41" s="7"/>
      <c r="G41" s="58">
        <v>0.96</v>
      </c>
      <c r="H41" s="58">
        <f t="shared" si="1"/>
        <v>0.96</v>
      </c>
      <c r="I41" s="9"/>
      <c r="J41" s="58">
        <v>0.94299999999999995</v>
      </c>
      <c r="K41" s="58">
        <f t="shared" si="2"/>
        <v>0.94299999999999995</v>
      </c>
      <c r="P41" s="19">
        <f t="shared" si="3"/>
        <v>159.25539000000001</v>
      </c>
    </row>
    <row r="42" spans="1:16" ht="47.25">
      <c r="A42" s="21">
        <v>32</v>
      </c>
      <c r="B42" s="14" t="s">
        <v>204</v>
      </c>
      <c r="C42" s="1"/>
      <c r="D42" s="39">
        <v>1.0904456993076417</v>
      </c>
      <c r="E42" s="39">
        <f t="shared" si="0"/>
        <v>1.0904456993076417</v>
      </c>
      <c r="F42" s="7"/>
      <c r="G42" s="58">
        <v>1.1134712763312642</v>
      </c>
      <c r="H42" s="58">
        <f t="shared" si="1"/>
        <v>1.1134712763312642</v>
      </c>
      <c r="I42" s="9"/>
      <c r="J42" s="58">
        <v>1.1084044438513285</v>
      </c>
      <c r="K42" s="58">
        <f t="shared" si="2"/>
        <v>1.1084044438513285</v>
      </c>
      <c r="P42" s="19">
        <f t="shared" si="3"/>
        <v>189.37770459875813</v>
      </c>
    </row>
    <row r="43" spans="1:16" ht="31.5">
      <c r="A43" s="21">
        <v>33</v>
      </c>
      <c r="B43" s="14" t="s">
        <v>205</v>
      </c>
      <c r="C43" s="1"/>
      <c r="D43" s="39">
        <v>1.0942685982338629</v>
      </c>
      <c r="E43" s="39">
        <f t="shared" si="0"/>
        <v>1.0942685982338629</v>
      </c>
      <c r="F43" s="7"/>
      <c r="G43" s="58">
        <v>1.1127479911364473</v>
      </c>
      <c r="H43" s="58">
        <f t="shared" si="1"/>
        <v>1.1127479911364473</v>
      </c>
      <c r="I43" s="9"/>
      <c r="J43" s="58">
        <v>1.1149204259774534</v>
      </c>
      <c r="K43" s="58">
        <f t="shared" si="2"/>
        <v>1.1149204259774534</v>
      </c>
      <c r="P43" s="19">
        <f t="shared" si="3"/>
        <v>190.04162745527495</v>
      </c>
    </row>
    <row r="44" spans="1:16" ht="47.25">
      <c r="A44" s="21">
        <v>34</v>
      </c>
      <c r="B44" s="13" t="s">
        <v>249</v>
      </c>
      <c r="C44" s="1"/>
      <c r="D44" s="39">
        <v>0.81499999999999995</v>
      </c>
      <c r="E44" s="39">
        <f t="shared" si="0"/>
        <v>0.81499999999999995</v>
      </c>
      <c r="F44" s="7"/>
      <c r="G44" s="58">
        <v>0.78600000000000003</v>
      </c>
      <c r="H44" s="58">
        <f t="shared" si="1"/>
        <v>0.78600000000000003</v>
      </c>
      <c r="I44" s="9"/>
      <c r="J44" s="58">
        <v>0.78600000000000003</v>
      </c>
      <c r="K44" s="58">
        <f t="shared" si="2"/>
        <v>0.78600000000000003</v>
      </c>
      <c r="P44" s="19">
        <f t="shared" si="3"/>
        <v>141.54104999999998</v>
      </c>
    </row>
    <row r="45" spans="1:16" ht="47.25">
      <c r="A45" s="21">
        <v>35</v>
      </c>
      <c r="B45" s="14" t="s">
        <v>32</v>
      </c>
      <c r="C45" s="1"/>
      <c r="D45" s="39">
        <v>0.81274977699768758</v>
      </c>
      <c r="E45" s="39">
        <f t="shared" si="0"/>
        <v>0.81274977699768758</v>
      </c>
      <c r="F45" s="7"/>
      <c r="G45" s="58">
        <v>0.78834325583999665</v>
      </c>
      <c r="H45" s="58">
        <f t="shared" si="1"/>
        <v>0.78834325583999665</v>
      </c>
      <c r="I45" s="9"/>
      <c r="J45" s="58">
        <v>0.78224387426337938</v>
      </c>
      <c r="K45" s="58">
        <f t="shared" si="2"/>
        <v>0.78224387426337938</v>
      </c>
      <c r="P45" s="19">
        <f t="shared" si="3"/>
        <v>141.1502537711884</v>
      </c>
    </row>
    <row r="46" spans="1:16" ht="47.25">
      <c r="A46" s="21">
        <v>36</v>
      </c>
      <c r="B46" s="14" t="s">
        <v>206</v>
      </c>
      <c r="C46" s="1"/>
      <c r="D46" s="39">
        <v>1.0573199797762132</v>
      </c>
      <c r="E46" s="39">
        <f t="shared" si="0"/>
        <v>1.0573199797762132</v>
      </c>
      <c r="F46" s="7"/>
      <c r="G46" s="58">
        <v>1.0818708920930853</v>
      </c>
      <c r="H46" s="58">
        <f t="shared" si="1"/>
        <v>1.0818708920930853</v>
      </c>
      <c r="I46" s="9"/>
      <c r="J46" s="58">
        <v>1.0879668208802575</v>
      </c>
      <c r="K46" s="58">
        <f t="shared" si="2"/>
        <v>1.0879668208802575</v>
      </c>
      <c r="P46" s="19">
        <f t="shared" si="3"/>
        <v>183.62476088773494</v>
      </c>
    </row>
    <row r="47" spans="1:16" ht="31.5">
      <c r="A47" s="21">
        <v>37</v>
      </c>
      <c r="B47" s="13" t="s">
        <v>183</v>
      </c>
      <c r="C47" s="1"/>
      <c r="D47" s="39">
        <v>1.1559999999999999</v>
      </c>
      <c r="E47" s="39">
        <f t="shared" si="0"/>
        <v>1.1559999999999999</v>
      </c>
      <c r="F47" s="7"/>
      <c r="G47" s="58">
        <v>1.1439999999999999</v>
      </c>
      <c r="H47" s="58">
        <f t="shared" si="1"/>
        <v>1.1439999999999999</v>
      </c>
      <c r="I47" s="9"/>
      <c r="J47" s="58">
        <v>1.1639999999999999</v>
      </c>
      <c r="K47" s="58">
        <f t="shared" si="2"/>
        <v>1.1639999999999999</v>
      </c>
      <c r="P47" s="19">
        <f t="shared" si="3"/>
        <v>200.76251999999997</v>
      </c>
    </row>
    <row r="48" spans="1:16" ht="47.25">
      <c r="A48" s="21">
        <v>38</v>
      </c>
      <c r="B48" s="14" t="s">
        <v>207</v>
      </c>
      <c r="C48" s="1"/>
      <c r="D48" s="39">
        <v>0.80659904922965397</v>
      </c>
      <c r="E48" s="39">
        <f t="shared" si="0"/>
        <v>0.80659904922965397</v>
      </c>
      <c r="F48" s="7"/>
      <c r="G48" s="58">
        <v>0.79121314766829032</v>
      </c>
      <c r="H48" s="58">
        <f t="shared" si="1"/>
        <v>0.79121314766829032</v>
      </c>
      <c r="I48" s="9"/>
      <c r="J48" s="58">
        <v>0.78825951194565314</v>
      </c>
      <c r="K48" s="58">
        <f t="shared" si="2"/>
        <v>0.78825951194565314</v>
      </c>
      <c r="P48" s="19">
        <f t="shared" si="3"/>
        <v>140.082056879714</v>
      </c>
    </row>
    <row r="49" spans="1:16" ht="47.25">
      <c r="A49" s="21">
        <v>39</v>
      </c>
      <c r="B49" s="13" t="s">
        <v>258</v>
      </c>
      <c r="C49" s="1"/>
      <c r="D49" s="39">
        <v>0.7341400636112253</v>
      </c>
      <c r="E49" s="39">
        <f t="shared" si="0"/>
        <v>0.7341400636112253</v>
      </c>
      <c r="F49" s="7"/>
      <c r="G49" s="58">
        <v>0.74665395571149418</v>
      </c>
      <c r="H49" s="58">
        <f t="shared" si="1"/>
        <v>0.74665395571149418</v>
      </c>
      <c r="I49" s="9"/>
      <c r="J49" s="58">
        <v>0.74754620727129806</v>
      </c>
      <c r="K49" s="58">
        <f t="shared" si="2"/>
        <v>0.74754620727129806</v>
      </c>
      <c r="P49" s="19">
        <f t="shared" si="3"/>
        <v>127.49810484736149</v>
      </c>
    </row>
    <row r="50" spans="1:16" ht="31.5">
      <c r="A50" s="21">
        <v>40</v>
      </c>
      <c r="B50" s="13" t="s">
        <v>246</v>
      </c>
      <c r="C50" s="1"/>
      <c r="D50" s="39">
        <v>1.2291656599606622</v>
      </c>
      <c r="E50" s="39">
        <f t="shared" si="0"/>
        <v>1.2291656599606622</v>
      </c>
      <c r="F50" s="7"/>
      <c r="G50" s="58">
        <v>1.2004027991821544</v>
      </c>
      <c r="H50" s="58">
        <f t="shared" si="1"/>
        <v>1.2004027991821544</v>
      </c>
      <c r="I50" s="9"/>
      <c r="J50" s="58">
        <v>1.1996917452369344</v>
      </c>
      <c r="K50" s="58">
        <f t="shared" si="2"/>
        <v>1.1996917452369344</v>
      </c>
      <c r="P50" s="19">
        <f t="shared" si="3"/>
        <v>213.46920016536819</v>
      </c>
    </row>
    <row r="51" spans="1:16" ht="31.5">
      <c r="A51" s="21">
        <v>41</v>
      </c>
      <c r="B51" s="14" t="s">
        <v>209</v>
      </c>
      <c r="C51" s="1"/>
      <c r="D51" s="39">
        <v>1.3222466085358993</v>
      </c>
      <c r="E51" s="39">
        <f t="shared" si="0"/>
        <v>1.3222466085358993</v>
      </c>
      <c r="F51" s="7"/>
      <c r="G51" s="58">
        <v>1.2883355692165563</v>
      </c>
      <c r="H51" s="58">
        <f t="shared" si="1"/>
        <v>1.2883355692165563</v>
      </c>
      <c r="I51" s="9"/>
      <c r="J51" s="58">
        <v>1.2561097526555827</v>
      </c>
      <c r="K51" s="58">
        <f t="shared" si="2"/>
        <v>1.2561097526555827</v>
      </c>
      <c r="P51" s="19">
        <f t="shared" si="3"/>
        <v>229.63456850442961</v>
      </c>
    </row>
    <row r="52" spans="1:16" ht="31.5">
      <c r="A52" s="21">
        <v>42</v>
      </c>
      <c r="B52" s="13" t="s">
        <v>253</v>
      </c>
      <c r="C52" s="1"/>
      <c r="D52" s="39">
        <v>2.0409999999999999</v>
      </c>
      <c r="E52" s="39">
        <f t="shared" si="0"/>
        <v>2.0409999999999999</v>
      </c>
      <c r="F52" s="7"/>
      <c r="G52" s="58">
        <v>1.581</v>
      </c>
      <c r="H52" s="58">
        <f t="shared" si="1"/>
        <v>1.581</v>
      </c>
      <c r="I52" s="9"/>
      <c r="J52" s="58">
        <v>1.6319999999999999</v>
      </c>
      <c r="K52" s="58">
        <f t="shared" si="2"/>
        <v>1.6319999999999999</v>
      </c>
      <c r="P52" s="19">
        <f t="shared" si="3"/>
        <v>354.46046999999999</v>
      </c>
    </row>
    <row r="53" spans="1:16" ht="47.25">
      <c r="A53" s="21">
        <v>43</v>
      </c>
      <c r="B53" s="14" t="s">
        <v>210</v>
      </c>
      <c r="C53" s="1"/>
      <c r="D53" s="39">
        <v>1.220189628305558</v>
      </c>
      <c r="E53" s="39">
        <f t="shared" si="0"/>
        <v>1.220189628305558</v>
      </c>
      <c r="F53" s="7"/>
      <c r="G53" s="58">
        <v>1.2215476626944157</v>
      </c>
      <c r="H53" s="58">
        <f t="shared" si="1"/>
        <v>1.2215476626944157</v>
      </c>
      <c r="I53" s="9"/>
      <c r="J53" s="58">
        <v>1.2615632410409243</v>
      </c>
      <c r="K53" s="58">
        <f t="shared" si="2"/>
        <v>1.2615632410409243</v>
      </c>
      <c r="P53" s="19">
        <f t="shared" si="3"/>
        <v>211.91033274782623</v>
      </c>
    </row>
    <row r="54" spans="1:16" ht="47.25">
      <c r="A54" s="21">
        <v>44</v>
      </c>
      <c r="B54" s="14" t="s">
        <v>35</v>
      </c>
      <c r="C54" s="1"/>
      <c r="D54" s="39">
        <v>1.0082305985967932</v>
      </c>
      <c r="E54" s="39">
        <f t="shared" si="0"/>
        <v>1.0082305985967932</v>
      </c>
      <c r="F54" s="7"/>
      <c r="G54" s="58">
        <v>1.0072944951075584</v>
      </c>
      <c r="H54" s="58">
        <f t="shared" si="1"/>
        <v>1.0072944951075584</v>
      </c>
      <c r="I54" s="9"/>
      <c r="J54" s="58">
        <v>1.0267105463107089</v>
      </c>
      <c r="K54" s="58">
        <f t="shared" si="2"/>
        <v>1.0267105463107089</v>
      </c>
      <c r="P54" s="19">
        <f t="shared" si="3"/>
        <v>175.09940805830507</v>
      </c>
    </row>
    <row r="55" spans="1:16" ht="47.25">
      <c r="A55" s="21">
        <v>45</v>
      </c>
      <c r="B55" s="14" t="s">
        <v>211</v>
      </c>
      <c r="C55" s="1"/>
      <c r="D55" s="39">
        <v>1.0109887483538333</v>
      </c>
      <c r="E55" s="39">
        <f t="shared" si="0"/>
        <v>1.0109887483538333</v>
      </c>
      <c r="F55" s="7"/>
      <c r="G55" s="58">
        <v>1.0302998075899492</v>
      </c>
      <c r="H55" s="58">
        <f t="shared" si="1"/>
        <v>1.0302998075899492</v>
      </c>
      <c r="I55" s="9"/>
      <c r="J55" s="58">
        <v>1.035793730256888</v>
      </c>
      <c r="K55" s="58">
        <f t="shared" si="2"/>
        <v>1.035793730256888</v>
      </c>
      <c r="P55" s="19">
        <f t="shared" si="3"/>
        <v>175.57841592661023</v>
      </c>
    </row>
    <row r="56" spans="1:16" ht="31.5">
      <c r="A56" s="21">
        <v>46</v>
      </c>
      <c r="B56" s="14" t="s">
        <v>37</v>
      </c>
      <c r="C56" s="1"/>
      <c r="D56" s="39">
        <v>1.0258143439145082</v>
      </c>
      <c r="E56" s="39">
        <f t="shared" si="0"/>
        <v>1.0258143439145082</v>
      </c>
      <c r="F56" s="7"/>
      <c r="G56" s="58">
        <v>1.0108726772483816</v>
      </c>
      <c r="H56" s="58">
        <f t="shared" si="1"/>
        <v>1.0108726772483816</v>
      </c>
      <c r="I56" s="9"/>
      <c r="J56" s="58">
        <v>1.0410864423361659</v>
      </c>
      <c r="K56" s="58">
        <f t="shared" si="2"/>
        <v>1.0410864423361659</v>
      </c>
      <c r="P56" s="19">
        <f t="shared" si="3"/>
        <v>178.15317710763262</v>
      </c>
    </row>
    <row r="57" spans="1:16" ht="31.5">
      <c r="A57" s="21">
        <v>47</v>
      </c>
      <c r="B57" s="14" t="s">
        <v>39</v>
      </c>
      <c r="C57" s="1"/>
      <c r="D57" s="39">
        <v>1.105194223986796</v>
      </c>
      <c r="E57" s="39">
        <f t="shared" si="0"/>
        <v>1.105194223986796</v>
      </c>
      <c r="F57" s="7"/>
      <c r="G57" s="58">
        <v>1.0420747840067432</v>
      </c>
      <c r="H57" s="58">
        <f t="shared" si="1"/>
        <v>1.0420747840067432</v>
      </c>
      <c r="I57" s="9"/>
      <c r="J57" s="58">
        <v>1.0834656489189221</v>
      </c>
      <c r="K57" s="58">
        <f t="shared" si="2"/>
        <v>1.0834656489189221</v>
      </c>
      <c r="P57" s="19">
        <f t="shared" si="3"/>
        <v>191.93908087978684</v>
      </c>
    </row>
    <row r="58" spans="1:16" ht="31.5">
      <c r="A58" s="21">
        <v>48</v>
      </c>
      <c r="B58" s="14" t="s">
        <v>36</v>
      </c>
      <c r="C58" s="1"/>
      <c r="D58" s="39">
        <v>1.2087264774498667</v>
      </c>
      <c r="E58" s="39">
        <f t="shared" si="0"/>
        <v>1.2087264774498667</v>
      </c>
      <c r="F58" s="7"/>
      <c r="G58" s="58">
        <v>1.218634534277363</v>
      </c>
      <c r="H58" s="58">
        <f t="shared" si="1"/>
        <v>1.218634534277363</v>
      </c>
      <c r="I58" s="9"/>
      <c r="J58" s="58">
        <v>1.2401452024698232</v>
      </c>
      <c r="K58" s="58">
        <f t="shared" si="2"/>
        <v>1.2401452024698232</v>
      </c>
      <c r="P58" s="19">
        <f t="shared" si="3"/>
        <v>209.91952733871832</v>
      </c>
    </row>
    <row r="59" spans="1:16" ht="31.5">
      <c r="A59" s="21">
        <v>49</v>
      </c>
      <c r="B59" s="14" t="s">
        <v>212</v>
      </c>
      <c r="C59" s="1"/>
      <c r="D59" s="39">
        <v>1.049945854500296</v>
      </c>
      <c r="E59" s="39">
        <f t="shared" si="0"/>
        <v>1.049945854500296</v>
      </c>
      <c r="F59" s="7"/>
      <c r="G59" s="58">
        <v>1.0918084643810009</v>
      </c>
      <c r="H59" s="58">
        <f t="shared" si="1"/>
        <v>1.0918084643810009</v>
      </c>
      <c r="I59" s="9"/>
      <c r="J59" s="58">
        <v>1.0937205820859843</v>
      </c>
      <c r="K59" s="58">
        <f t="shared" si="2"/>
        <v>1.0937205820859843</v>
      </c>
      <c r="P59" s="19">
        <f t="shared" si="3"/>
        <v>182.3440965510664</v>
      </c>
    </row>
    <row r="60" spans="1:16" ht="31.5">
      <c r="A60" s="21">
        <v>50</v>
      </c>
      <c r="B60" s="14" t="s">
        <v>38</v>
      </c>
      <c r="C60" s="1"/>
      <c r="D60" s="39">
        <v>1.3324428182369468</v>
      </c>
      <c r="E60" s="39">
        <f t="shared" si="0"/>
        <v>1.3324428182369468</v>
      </c>
      <c r="F60" s="7"/>
      <c r="G60" s="58">
        <v>1.320214769218035</v>
      </c>
      <c r="H60" s="58">
        <f t="shared" si="1"/>
        <v>1.320214769218035</v>
      </c>
      <c r="I60" s="9"/>
      <c r="J60" s="58">
        <v>1.3404387805306739</v>
      </c>
      <c r="K60" s="58">
        <f t="shared" si="2"/>
        <v>1.3404387805306739</v>
      </c>
      <c r="P60" s="19">
        <f t="shared" si="3"/>
        <v>231.40534424321052</v>
      </c>
    </row>
    <row r="61" spans="1:16" ht="47.25">
      <c r="A61" s="21">
        <v>51</v>
      </c>
      <c r="B61" s="14" t="s">
        <v>213</v>
      </c>
      <c r="C61" s="1"/>
      <c r="D61" s="39">
        <v>1.083550104443967</v>
      </c>
      <c r="E61" s="39">
        <f t="shared" si="0"/>
        <v>1.083550104443967</v>
      </c>
      <c r="F61" s="7"/>
      <c r="G61" s="58">
        <v>1.1152430134242761</v>
      </c>
      <c r="H61" s="58">
        <f t="shared" si="1"/>
        <v>1.1152430134242761</v>
      </c>
      <c r="I61" s="9"/>
      <c r="J61" s="58">
        <v>1.1147322346885955</v>
      </c>
      <c r="K61" s="58">
        <f t="shared" si="2"/>
        <v>1.1147322346885955</v>
      </c>
      <c r="P61" s="19">
        <f t="shared" si="3"/>
        <v>188.18014663878375</v>
      </c>
    </row>
    <row r="62" spans="1:16" ht="47.25">
      <c r="A62" s="21">
        <v>52</v>
      </c>
      <c r="B62" s="14" t="s">
        <v>214</v>
      </c>
      <c r="C62" s="1"/>
      <c r="D62" s="39">
        <v>1.1005957488739895</v>
      </c>
      <c r="E62" s="39">
        <f t="shared" si="0"/>
        <v>1.1005957488739895</v>
      </c>
      <c r="F62" s="7"/>
      <c r="G62" s="58">
        <v>1.0931951392737009</v>
      </c>
      <c r="H62" s="58">
        <f t="shared" si="1"/>
        <v>1.0931951392737009</v>
      </c>
      <c r="I62" s="9"/>
      <c r="J62" s="58">
        <v>1.1138388836055753</v>
      </c>
      <c r="K62" s="58">
        <f t="shared" si="2"/>
        <v>1.1138388836055753</v>
      </c>
      <c r="P62" s="19">
        <f t="shared" si="3"/>
        <v>191.14046370694575</v>
      </c>
    </row>
    <row r="63" spans="1:16" ht="47.25">
      <c r="A63" s="21">
        <v>53</v>
      </c>
      <c r="B63" s="14" t="s">
        <v>215</v>
      </c>
      <c r="C63" s="1"/>
      <c r="D63" s="39">
        <v>1.1159627130631151</v>
      </c>
      <c r="E63" s="39">
        <f t="shared" si="0"/>
        <v>1.1159627130631151</v>
      </c>
      <c r="F63" s="7"/>
      <c r="G63" s="58">
        <v>1.1475615325352571</v>
      </c>
      <c r="H63" s="58">
        <f t="shared" si="1"/>
        <v>1.1475615325352571</v>
      </c>
      <c r="I63" s="9"/>
      <c r="J63" s="58">
        <v>1.1475863306394336</v>
      </c>
      <c r="K63" s="58">
        <f t="shared" si="2"/>
        <v>1.1475863306394336</v>
      </c>
      <c r="P63" s="19">
        <f t="shared" si="3"/>
        <v>193.80924437767118</v>
      </c>
    </row>
    <row r="64" spans="1:16" ht="47.25">
      <c r="A64" s="21">
        <v>54</v>
      </c>
      <c r="B64" s="14" t="s">
        <v>216</v>
      </c>
      <c r="C64" s="1"/>
      <c r="D64" s="39">
        <v>1.1840780145379852</v>
      </c>
      <c r="E64" s="39">
        <f t="shared" si="0"/>
        <v>1.1840780145379852</v>
      </c>
      <c r="F64" s="7"/>
      <c r="G64" s="58">
        <v>1.1724697839863025</v>
      </c>
      <c r="H64" s="58">
        <f t="shared" si="1"/>
        <v>1.1724697839863025</v>
      </c>
      <c r="I64" s="9"/>
      <c r="J64" s="58">
        <v>1.1720776908441606</v>
      </c>
      <c r="K64" s="58">
        <f t="shared" si="2"/>
        <v>1.1720776908441606</v>
      </c>
      <c r="P64" s="19">
        <f t="shared" si="3"/>
        <v>205.63882878481189</v>
      </c>
    </row>
    <row r="65" spans="1:16" ht="31.5">
      <c r="A65" s="21">
        <v>55</v>
      </c>
      <c r="B65" s="13" t="s">
        <v>248</v>
      </c>
      <c r="C65" s="1"/>
      <c r="D65" s="39">
        <v>1.232</v>
      </c>
      <c r="E65" s="39">
        <f t="shared" si="0"/>
        <v>1.232</v>
      </c>
      <c r="F65" s="7"/>
      <c r="G65" s="58">
        <v>1.2390000000000001</v>
      </c>
      <c r="H65" s="58">
        <f t="shared" si="1"/>
        <v>1.2390000000000001</v>
      </c>
      <c r="I65" s="9"/>
      <c r="J65" s="58">
        <v>1.2470000000000001</v>
      </c>
      <c r="K65" s="58">
        <f t="shared" si="2"/>
        <v>1.2470000000000001</v>
      </c>
      <c r="P65" s="19">
        <f t="shared" si="3"/>
        <v>213.96143999999998</v>
      </c>
    </row>
    <row r="66" spans="1:16" ht="47.25">
      <c r="A66" s="21">
        <v>56</v>
      </c>
      <c r="B66" s="14" t="s">
        <v>217</v>
      </c>
      <c r="C66" s="1"/>
      <c r="D66" s="39">
        <v>1.0018658018624682</v>
      </c>
      <c r="E66" s="39">
        <f t="shared" si="0"/>
        <v>1.0018658018624682</v>
      </c>
      <c r="F66" s="7"/>
      <c r="G66" s="58">
        <v>1.0433107119305951</v>
      </c>
      <c r="H66" s="58">
        <f t="shared" si="1"/>
        <v>1.0433107119305951</v>
      </c>
      <c r="I66" s="9"/>
      <c r="J66" s="58">
        <v>1.0475717700933407</v>
      </c>
      <c r="K66" s="58">
        <f t="shared" si="2"/>
        <v>1.0475717700933407</v>
      </c>
      <c r="P66" s="19">
        <f t="shared" si="3"/>
        <v>173.99403380945483</v>
      </c>
    </row>
    <row r="67" spans="1:16" ht="47.25">
      <c r="A67" s="21">
        <v>57</v>
      </c>
      <c r="B67" s="14" t="s">
        <v>218</v>
      </c>
      <c r="C67" s="1"/>
      <c r="D67" s="39">
        <v>1.103094884067872</v>
      </c>
      <c r="E67" s="39">
        <f t="shared" si="0"/>
        <v>1.103094884067872</v>
      </c>
      <c r="F67" s="7"/>
      <c r="G67" s="58">
        <v>1.1301485064255397</v>
      </c>
      <c r="H67" s="58">
        <f t="shared" si="1"/>
        <v>1.1301485064255397</v>
      </c>
      <c r="I67" s="9"/>
      <c r="J67" s="58">
        <v>1.1200244018419363</v>
      </c>
      <c r="K67" s="58">
        <f t="shared" si="2"/>
        <v>1.1200244018419363</v>
      </c>
      <c r="P67" s="19">
        <f t="shared" si="3"/>
        <v>191.57448851606733</v>
      </c>
    </row>
    <row r="68" spans="1:16" ht="47.25">
      <c r="A68" s="21">
        <v>58</v>
      </c>
      <c r="B68" s="14" t="s">
        <v>219</v>
      </c>
      <c r="C68" s="1"/>
      <c r="D68" s="39">
        <v>1.0005881209582335</v>
      </c>
      <c r="E68" s="39">
        <f t="shared" si="0"/>
        <v>1.0005881209582335</v>
      </c>
      <c r="F68" s="7"/>
      <c r="G68" s="58">
        <v>1.0052351597589411</v>
      </c>
      <c r="H68" s="58">
        <f t="shared" si="1"/>
        <v>1.0052351597589411</v>
      </c>
      <c r="I68" s="9"/>
      <c r="J68" s="58">
        <v>1.0166574953619174</v>
      </c>
      <c r="K68" s="58">
        <f t="shared" si="2"/>
        <v>1.0166574953619174</v>
      </c>
      <c r="P68" s="19">
        <f t="shared" si="3"/>
        <v>173.77213896681639</v>
      </c>
    </row>
    <row r="69" spans="1:16" ht="31.5">
      <c r="A69" s="21">
        <v>59</v>
      </c>
      <c r="B69" s="13" t="s">
        <v>59</v>
      </c>
      <c r="C69" s="1"/>
      <c r="D69" s="39">
        <v>1.1763959902361052</v>
      </c>
      <c r="E69" s="39">
        <f t="shared" si="0"/>
        <v>1.1763959902361052</v>
      </c>
      <c r="F69" s="7"/>
      <c r="G69" s="58">
        <v>1.1750481661362628</v>
      </c>
      <c r="H69" s="58">
        <f t="shared" si="1"/>
        <v>1.1750481661362628</v>
      </c>
      <c r="I69" s="9"/>
      <c r="J69" s="58">
        <v>1.2019127083561121</v>
      </c>
      <c r="K69" s="58">
        <f t="shared" si="2"/>
        <v>1.2019127083561121</v>
      </c>
      <c r="P69" s="19">
        <f t="shared" si="3"/>
        <v>204.30469162430438</v>
      </c>
    </row>
    <row r="70" spans="1:16" ht="47.25">
      <c r="A70" s="21">
        <v>60</v>
      </c>
      <c r="B70" s="13" t="s">
        <v>245</v>
      </c>
      <c r="C70" s="1"/>
      <c r="D70" s="39">
        <v>1.1414235082832835</v>
      </c>
      <c r="E70" s="39">
        <f t="shared" si="0"/>
        <v>1.1414235082832835</v>
      </c>
      <c r="F70" s="7"/>
      <c r="G70" s="58">
        <v>1.1220307856900664</v>
      </c>
      <c r="H70" s="58">
        <f t="shared" si="1"/>
        <v>1.1220307856900664</v>
      </c>
      <c r="I70" s="9"/>
      <c r="J70" s="58">
        <v>1.1809519287619139</v>
      </c>
      <c r="K70" s="58">
        <f t="shared" si="2"/>
        <v>1.1809519287619139</v>
      </c>
      <c r="P70" s="19">
        <f t="shared" si="3"/>
        <v>198.23102068355783</v>
      </c>
    </row>
    <row r="71" spans="1:16" ht="47.25">
      <c r="A71" s="21">
        <v>61</v>
      </c>
      <c r="B71" s="14" t="s">
        <v>40</v>
      </c>
      <c r="C71" s="1"/>
      <c r="D71" s="39">
        <v>1.0405999720169441</v>
      </c>
      <c r="E71" s="39">
        <f t="shared" si="0"/>
        <v>1.0405999720169441</v>
      </c>
      <c r="F71" s="7"/>
      <c r="G71" s="58">
        <v>1.0460419616346268</v>
      </c>
      <c r="H71" s="58">
        <f t="shared" si="1"/>
        <v>1.0460419616346268</v>
      </c>
      <c r="I71" s="9"/>
      <c r="J71" s="58">
        <v>1.0466738146829619</v>
      </c>
      <c r="K71" s="58">
        <f t="shared" si="2"/>
        <v>1.0466738146829619</v>
      </c>
      <c r="P71" s="19">
        <f t="shared" si="3"/>
        <v>180.72099714018267</v>
      </c>
    </row>
    <row r="72" spans="1:16" ht="31.5">
      <c r="A72" s="21">
        <v>62</v>
      </c>
      <c r="B72" s="14" t="s">
        <v>221</v>
      </c>
      <c r="C72" s="1"/>
      <c r="D72" s="39">
        <v>1.0489999999999999</v>
      </c>
      <c r="E72" s="39">
        <f t="shared" si="0"/>
        <v>1.0489999999999999</v>
      </c>
      <c r="F72" s="7"/>
      <c r="G72" s="58">
        <v>1.075</v>
      </c>
      <c r="H72" s="58">
        <f t="shared" si="1"/>
        <v>1.075</v>
      </c>
      <c r="I72" s="9"/>
      <c r="J72" s="58">
        <v>1.08</v>
      </c>
      <c r="K72" s="58">
        <f t="shared" si="2"/>
        <v>1.08</v>
      </c>
      <c r="P72" s="19">
        <f t="shared" si="3"/>
        <v>182.17982999999998</v>
      </c>
    </row>
    <row r="73" spans="1:16" ht="31.5">
      <c r="A73" s="21">
        <v>63</v>
      </c>
      <c r="B73" s="14" t="s">
        <v>222</v>
      </c>
      <c r="C73" s="1"/>
      <c r="D73" s="39">
        <v>1.1561243179624678</v>
      </c>
      <c r="E73" s="39">
        <f t="shared" si="0"/>
        <v>1.1561243179624678</v>
      </c>
      <c r="F73" s="7"/>
      <c r="G73" s="58">
        <v>1.1026827040241323</v>
      </c>
      <c r="H73" s="58">
        <f t="shared" si="1"/>
        <v>1.1026827040241323</v>
      </c>
      <c r="I73" s="9"/>
      <c r="J73" s="58">
        <v>1.1179083914349355</v>
      </c>
      <c r="K73" s="58">
        <f t="shared" si="2"/>
        <v>1.1179083914349355</v>
      </c>
      <c r="P73" s="19">
        <f t="shared" si="3"/>
        <v>200.78411030054178</v>
      </c>
    </row>
    <row r="74" spans="1:16" ht="47.25">
      <c r="A74" s="21">
        <v>64</v>
      </c>
      <c r="B74" s="14" t="s">
        <v>223</v>
      </c>
      <c r="C74" s="1"/>
      <c r="D74" s="39">
        <v>1.1062818872619806</v>
      </c>
      <c r="E74" s="39">
        <f t="shared" si="0"/>
        <v>1.1062818872619806</v>
      </c>
      <c r="F74" s="7"/>
      <c r="G74" s="58">
        <v>1.0774391246695942</v>
      </c>
      <c r="H74" s="58">
        <f t="shared" si="1"/>
        <v>1.0774391246695942</v>
      </c>
      <c r="I74" s="9"/>
      <c r="J74" s="58">
        <v>1.0991335468796046</v>
      </c>
      <c r="K74" s="58">
        <f t="shared" si="2"/>
        <v>1.0991335468796046</v>
      </c>
      <c r="P74" s="19">
        <f t="shared" si="3"/>
        <v>192.12797536078816</v>
      </c>
    </row>
    <row r="75" spans="1:16" ht="31.5">
      <c r="A75" s="21">
        <v>65</v>
      </c>
      <c r="B75" s="14" t="s">
        <v>224</v>
      </c>
      <c r="C75" s="1"/>
      <c r="D75" s="39">
        <v>1.1493621668671659</v>
      </c>
      <c r="E75" s="39">
        <f t="shared" ref="E75:E141" si="4">C75+D75</f>
        <v>1.1493621668671659</v>
      </c>
      <c r="F75" s="7"/>
      <c r="G75" s="58">
        <v>1.1176724238853031</v>
      </c>
      <c r="H75" s="58">
        <f t="shared" ref="H75:H141" si="5">G75</f>
        <v>1.1176724238853031</v>
      </c>
      <c r="I75" s="9"/>
      <c r="J75" s="58">
        <v>1.1548113298449498</v>
      </c>
      <c r="K75" s="58">
        <f t="shared" ref="K75:K141" si="6">J75</f>
        <v>1.1548113298449498</v>
      </c>
      <c r="P75" s="19">
        <f t="shared" si="3"/>
        <v>199.60972751982067</v>
      </c>
    </row>
    <row r="76" spans="1:16" ht="47.25">
      <c r="A76" s="21">
        <v>66</v>
      </c>
      <c r="B76" s="14" t="s">
        <v>41</v>
      </c>
      <c r="C76" s="1"/>
      <c r="D76" s="39">
        <v>0.9649301020052049</v>
      </c>
      <c r="E76" s="39">
        <f t="shared" si="4"/>
        <v>0.9649301020052049</v>
      </c>
      <c r="F76" s="7"/>
      <c r="G76" s="58">
        <v>0.97495214086696103</v>
      </c>
      <c r="H76" s="58">
        <f t="shared" si="5"/>
        <v>0.97495214086696103</v>
      </c>
      <c r="I76" s="9"/>
      <c r="J76" s="58">
        <v>0.99777946218726776</v>
      </c>
      <c r="K76" s="58">
        <f t="shared" si="6"/>
        <v>0.99777946218726776</v>
      </c>
      <c r="P76" s="19">
        <f t="shared" ref="P76:P139" si="7">D76*173.67</f>
        <v>167.57941081524393</v>
      </c>
    </row>
    <row r="77" spans="1:16" ht="47.25">
      <c r="A77" s="21">
        <v>67</v>
      </c>
      <c r="B77" s="13" t="s">
        <v>179</v>
      </c>
      <c r="C77" s="1"/>
      <c r="D77" s="39">
        <v>1.0940000000000001</v>
      </c>
      <c r="E77" s="39">
        <f t="shared" si="4"/>
        <v>1.0940000000000001</v>
      </c>
      <c r="F77" s="7"/>
      <c r="G77" s="58">
        <v>1.093</v>
      </c>
      <c r="H77" s="58">
        <f t="shared" si="5"/>
        <v>1.093</v>
      </c>
      <c r="I77" s="9"/>
      <c r="J77" s="58">
        <v>1.111</v>
      </c>
      <c r="K77" s="58">
        <f t="shared" si="6"/>
        <v>1.111</v>
      </c>
      <c r="P77" s="19">
        <f t="shared" si="7"/>
        <v>189.99498</v>
      </c>
    </row>
    <row r="78" spans="1:16" ht="47.25">
      <c r="A78" s="21">
        <v>68</v>
      </c>
      <c r="B78" s="14" t="s">
        <v>226</v>
      </c>
      <c r="C78" s="1"/>
      <c r="D78" s="39">
        <v>1.1201473894291651</v>
      </c>
      <c r="E78" s="39">
        <f t="shared" si="4"/>
        <v>1.1201473894291651</v>
      </c>
      <c r="F78" s="7"/>
      <c r="G78" s="58">
        <v>1.0750626579205591</v>
      </c>
      <c r="H78" s="58">
        <f t="shared" si="5"/>
        <v>1.0750626579205591</v>
      </c>
      <c r="I78" s="9"/>
      <c r="J78" s="58">
        <v>1.0848136266553758</v>
      </c>
      <c r="K78" s="58">
        <f t="shared" si="6"/>
        <v>1.0848136266553758</v>
      </c>
      <c r="P78" s="19">
        <f t="shared" si="7"/>
        <v>194.53599712216311</v>
      </c>
    </row>
    <row r="79" spans="1:16" ht="31.5">
      <c r="A79" s="21">
        <v>69</v>
      </c>
      <c r="B79" s="13" t="s">
        <v>254</v>
      </c>
      <c r="C79" s="1"/>
      <c r="D79" s="39">
        <v>0.98665602676920428</v>
      </c>
      <c r="E79" s="39">
        <f t="shared" si="4"/>
        <v>0.98665602676920428</v>
      </c>
      <c r="F79" s="7"/>
      <c r="G79" s="58">
        <v>0.96472658599004457</v>
      </c>
      <c r="H79" s="58">
        <f t="shared" si="5"/>
        <v>0.96472658599004457</v>
      </c>
      <c r="I79" s="9"/>
      <c r="J79" s="58">
        <v>1.0015445172825423</v>
      </c>
      <c r="K79" s="58">
        <f t="shared" si="6"/>
        <v>1.0015445172825423</v>
      </c>
      <c r="P79" s="19">
        <f t="shared" si="7"/>
        <v>171.35255216900768</v>
      </c>
    </row>
    <row r="80" spans="1:16" ht="47.25">
      <c r="A80" s="21">
        <v>70</v>
      </c>
      <c r="B80" s="13" t="s">
        <v>166</v>
      </c>
      <c r="C80" s="1"/>
      <c r="D80" s="39">
        <v>1.2729999999999999</v>
      </c>
      <c r="E80" s="39">
        <f t="shared" si="4"/>
        <v>1.2729999999999999</v>
      </c>
      <c r="F80" s="7"/>
      <c r="G80" s="58">
        <v>1.264</v>
      </c>
      <c r="H80" s="58">
        <f t="shared" si="5"/>
        <v>1.264</v>
      </c>
      <c r="I80" s="9"/>
      <c r="J80" s="58">
        <v>1.2829999999999999</v>
      </c>
      <c r="K80" s="58">
        <f t="shared" si="6"/>
        <v>1.2829999999999999</v>
      </c>
      <c r="P80" s="19">
        <f t="shared" si="7"/>
        <v>221.08190999999997</v>
      </c>
    </row>
    <row r="81" spans="1:16" ht="47.25">
      <c r="A81" s="21">
        <v>71</v>
      </c>
      <c r="B81" s="14" t="s">
        <v>227</v>
      </c>
      <c r="C81" s="1"/>
      <c r="D81" s="39">
        <v>1.0847520721611716</v>
      </c>
      <c r="E81" s="39">
        <f t="shared" si="4"/>
        <v>1.0847520721611716</v>
      </c>
      <c r="F81" s="7"/>
      <c r="G81" s="58">
        <v>1.0697882911347336</v>
      </c>
      <c r="H81" s="58">
        <f t="shared" si="5"/>
        <v>1.0697882911347336</v>
      </c>
      <c r="I81" s="9"/>
      <c r="J81" s="58">
        <v>1.0770314699847943</v>
      </c>
      <c r="K81" s="58">
        <f t="shared" si="6"/>
        <v>1.0770314699847943</v>
      </c>
      <c r="P81" s="19">
        <f t="shared" si="7"/>
        <v>188.38889237223066</v>
      </c>
    </row>
    <row r="82" spans="1:16" ht="47.25">
      <c r="A82" s="21">
        <v>72</v>
      </c>
      <c r="B82" s="14" t="s">
        <v>42</v>
      </c>
      <c r="C82" s="1"/>
      <c r="D82" s="39">
        <v>0.9281308087588036</v>
      </c>
      <c r="E82" s="39">
        <f t="shared" si="4"/>
        <v>0.9281308087588036</v>
      </c>
      <c r="F82" s="7"/>
      <c r="G82" s="58">
        <v>0.95272706428222698</v>
      </c>
      <c r="H82" s="58">
        <f t="shared" si="5"/>
        <v>0.95272706428222698</v>
      </c>
      <c r="I82" s="9"/>
      <c r="J82" s="58">
        <v>0.9238374718145127</v>
      </c>
      <c r="K82" s="58">
        <f t="shared" si="6"/>
        <v>0.9238374718145127</v>
      </c>
      <c r="P82" s="19">
        <f t="shared" si="7"/>
        <v>161.1884775571414</v>
      </c>
    </row>
    <row r="83" spans="1:16" ht="47.25">
      <c r="A83" s="21">
        <v>73</v>
      </c>
      <c r="B83" s="14" t="s">
        <v>43</v>
      </c>
      <c r="C83" s="1"/>
      <c r="D83" s="39">
        <v>1.1291598050863774</v>
      </c>
      <c r="E83" s="39">
        <f t="shared" si="4"/>
        <v>1.1291598050863774</v>
      </c>
      <c r="F83" s="7"/>
      <c r="G83" s="58">
        <v>1.118110362504684</v>
      </c>
      <c r="H83" s="58">
        <f t="shared" si="5"/>
        <v>1.118110362504684</v>
      </c>
      <c r="I83" s="9"/>
      <c r="J83" s="58">
        <v>1.1243368126780988</v>
      </c>
      <c r="K83" s="58">
        <f t="shared" si="6"/>
        <v>1.1243368126780988</v>
      </c>
      <c r="P83" s="19">
        <f t="shared" si="7"/>
        <v>196.10118334935115</v>
      </c>
    </row>
    <row r="84" spans="1:16" ht="47.25">
      <c r="A84" s="21">
        <v>74</v>
      </c>
      <c r="B84" s="14" t="s">
        <v>44</v>
      </c>
      <c r="C84" s="1"/>
      <c r="D84" s="39">
        <v>1.1049028758864283</v>
      </c>
      <c r="E84" s="39">
        <f t="shared" si="4"/>
        <v>1.1049028758864283</v>
      </c>
      <c r="F84" s="7"/>
      <c r="G84" s="58">
        <v>1.0755976729490446</v>
      </c>
      <c r="H84" s="58">
        <f t="shared" si="5"/>
        <v>1.0755976729490446</v>
      </c>
      <c r="I84" s="9"/>
      <c r="J84" s="58">
        <v>1.086084859634235</v>
      </c>
      <c r="K84" s="58">
        <f t="shared" si="6"/>
        <v>1.086084859634235</v>
      </c>
      <c r="P84" s="19">
        <f t="shared" si="7"/>
        <v>191.888482455196</v>
      </c>
    </row>
    <row r="85" spans="1:16" ht="47.25">
      <c r="A85" s="21">
        <v>75</v>
      </c>
      <c r="B85" s="14" t="s">
        <v>228</v>
      </c>
      <c r="C85" s="1"/>
      <c r="D85" s="39">
        <v>0.84584054497959826</v>
      </c>
      <c r="E85" s="39">
        <f t="shared" si="4"/>
        <v>0.84584054497959826</v>
      </c>
      <c r="F85" s="7"/>
      <c r="G85" s="58">
        <v>0.84316726692599919</v>
      </c>
      <c r="H85" s="58">
        <f t="shared" si="5"/>
        <v>0.84316726692599919</v>
      </c>
      <c r="I85" s="9"/>
      <c r="J85" s="58">
        <v>0.84325166429438703</v>
      </c>
      <c r="K85" s="58">
        <f t="shared" si="6"/>
        <v>0.84325166429438703</v>
      </c>
      <c r="P85" s="19">
        <f t="shared" si="7"/>
        <v>146.89712744660682</v>
      </c>
    </row>
    <row r="86" spans="1:16" ht="47.25">
      <c r="A86" s="21">
        <v>76</v>
      </c>
      <c r="B86" s="14" t="s">
        <v>229</v>
      </c>
      <c r="C86" s="1"/>
      <c r="D86" s="39">
        <v>1.0663240175394888</v>
      </c>
      <c r="E86" s="39">
        <f t="shared" si="4"/>
        <v>1.0663240175394888</v>
      </c>
      <c r="F86" s="7"/>
      <c r="G86" s="58">
        <v>1.0545602548188131</v>
      </c>
      <c r="H86" s="58">
        <f t="shared" si="5"/>
        <v>1.0545602548188131</v>
      </c>
      <c r="I86" s="9"/>
      <c r="J86" s="58">
        <v>1.0768159642288053</v>
      </c>
      <c r="K86" s="58">
        <f t="shared" si="6"/>
        <v>1.0768159642288053</v>
      </c>
      <c r="P86" s="19">
        <f t="shared" si="7"/>
        <v>185.18849212608302</v>
      </c>
    </row>
    <row r="87" spans="1:16" ht="31.5">
      <c r="A87" s="21">
        <v>77</v>
      </c>
      <c r="B87" s="14" t="s">
        <v>45</v>
      </c>
      <c r="C87" s="1"/>
      <c r="D87" s="39">
        <v>1.0669874961834234</v>
      </c>
      <c r="E87" s="39">
        <f t="shared" si="4"/>
        <v>1.0669874961834234</v>
      </c>
      <c r="F87" s="7"/>
      <c r="G87" s="58">
        <v>1.071302584972587</v>
      </c>
      <c r="H87" s="58">
        <f t="shared" si="5"/>
        <v>1.071302584972587</v>
      </c>
      <c r="I87" s="9"/>
      <c r="J87" s="58">
        <v>1.0744431254305686</v>
      </c>
      <c r="K87" s="58">
        <f t="shared" si="6"/>
        <v>1.0744431254305686</v>
      </c>
      <c r="P87" s="19">
        <f t="shared" si="7"/>
        <v>185.30371846217511</v>
      </c>
    </row>
    <row r="88" spans="1:16" ht="31.5">
      <c r="A88" s="21">
        <v>78</v>
      </c>
      <c r="B88" s="14" t="s">
        <v>230</v>
      </c>
      <c r="C88" s="1"/>
      <c r="D88" s="39">
        <v>1.3868331736235551</v>
      </c>
      <c r="E88" s="39">
        <f t="shared" si="4"/>
        <v>1.3868331736235551</v>
      </c>
      <c r="F88" s="7"/>
      <c r="G88" s="58">
        <v>1.3662814848615985</v>
      </c>
      <c r="H88" s="58">
        <f t="shared" si="5"/>
        <v>1.3662814848615985</v>
      </c>
      <c r="I88" s="9"/>
      <c r="J88" s="58">
        <v>1.3770752808697093</v>
      </c>
      <c r="K88" s="58">
        <f t="shared" si="6"/>
        <v>1.3770752808697093</v>
      </c>
      <c r="P88" s="19">
        <f t="shared" si="7"/>
        <v>240.85131726320279</v>
      </c>
    </row>
    <row r="89" spans="1:16" ht="47.25">
      <c r="A89" s="21">
        <v>79</v>
      </c>
      <c r="B89" s="14" t="s">
        <v>46</v>
      </c>
      <c r="C89" s="1"/>
      <c r="D89" s="39">
        <v>0.89097904782451443</v>
      </c>
      <c r="E89" s="39">
        <f t="shared" si="4"/>
        <v>0.89097904782451443</v>
      </c>
      <c r="F89" s="7"/>
      <c r="G89" s="58">
        <v>0.92106215397976043</v>
      </c>
      <c r="H89" s="58">
        <f t="shared" si="5"/>
        <v>0.92106215397976043</v>
      </c>
      <c r="I89" s="9"/>
      <c r="J89" s="58">
        <v>0.90204579445908406</v>
      </c>
      <c r="K89" s="58">
        <f t="shared" si="6"/>
        <v>0.90204579445908406</v>
      </c>
      <c r="P89" s="19">
        <f t="shared" si="7"/>
        <v>154.73633123568342</v>
      </c>
    </row>
    <row r="90" spans="1:16" ht="47.25">
      <c r="A90" s="21">
        <v>80</v>
      </c>
      <c r="B90" s="14" t="s">
        <v>47</v>
      </c>
      <c r="C90" s="1"/>
      <c r="D90" s="39">
        <v>0.77667803105119049</v>
      </c>
      <c r="E90" s="39">
        <f t="shared" si="4"/>
        <v>0.77667803105119049</v>
      </c>
      <c r="F90" s="7"/>
      <c r="G90" s="58">
        <v>0.77572178413700654</v>
      </c>
      <c r="H90" s="58">
        <f t="shared" si="5"/>
        <v>0.77572178413700654</v>
      </c>
      <c r="I90" s="9"/>
      <c r="J90" s="58">
        <v>0.74774110690204432</v>
      </c>
      <c r="K90" s="58">
        <f t="shared" si="6"/>
        <v>0.74774110690204432</v>
      </c>
      <c r="P90" s="19">
        <f t="shared" si="7"/>
        <v>134.88567365266024</v>
      </c>
    </row>
    <row r="91" spans="1:16" ht="47.25">
      <c r="A91" s="21">
        <v>81</v>
      </c>
      <c r="B91" s="13" t="s">
        <v>180</v>
      </c>
      <c r="C91" s="1"/>
      <c r="D91" s="39">
        <v>0.92100000000000004</v>
      </c>
      <c r="E91" s="39"/>
      <c r="F91" s="7"/>
      <c r="G91" s="58">
        <v>0.91300000000000003</v>
      </c>
      <c r="H91" s="58">
        <f t="shared" si="5"/>
        <v>0.91300000000000003</v>
      </c>
      <c r="I91" s="9"/>
      <c r="J91" s="58">
        <v>0.91600000000000004</v>
      </c>
      <c r="K91" s="58">
        <f t="shared" si="6"/>
        <v>0.91600000000000004</v>
      </c>
      <c r="P91" s="19">
        <f t="shared" si="7"/>
        <v>159.95006999999998</v>
      </c>
    </row>
    <row r="92" spans="1:16" ht="31.5">
      <c r="A92" s="21">
        <v>82</v>
      </c>
      <c r="B92" s="14" t="s">
        <v>231</v>
      </c>
      <c r="C92" s="1"/>
      <c r="D92" s="39">
        <v>0.81500633382291121</v>
      </c>
      <c r="E92" s="39">
        <f t="shared" si="4"/>
        <v>0.81500633382291121</v>
      </c>
      <c r="F92" s="7"/>
      <c r="G92" s="58">
        <v>0.82742512823263392</v>
      </c>
      <c r="H92" s="58">
        <f t="shared" si="5"/>
        <v>0.82742512823263392</v>
      </c>
      <c r="I92" s="9"/>
      <c r="J92" s="58">
        <v>0.81810185065923957</v>
      </c>
      <c r="K92" s="58">
        <f t="shared" si="6"/>
        <v>0.81810185065923957</v>
      </c>
      <c r="P92" s="19">
        <f t="shared" si="7"/>
        <v>141.54214999502497</v>
      </c>
    </row>
    <row r="93" spans="1:16" ht="31.5">
      <c r="A93" s="21">
        <v>83</v>
      </c>
      <c r="B93" s="14" t="s">
        <v>232</v>
      </c>
      <c r="C93" s="1"/>
      <c r="D93" s="39">
        <v>0.83830606260236684</v>
      </c>
      <c r="E93" s="39">
        <f t="shared" si="4"/>
        <v>0.83830606260236684</v>
      </c>
      <c r="F93" s="7"/>
      <c r="G93" s="58">
        <v>0.80904978362452984</v>
      </c>
      <c r="H93" s="58">
        <f t="shared" si="5"/>
        <v>0.80904978362452984</v>
      </c>
      <c r="I93" s="9"/>
      <c r="J93" s="58">
        <v>0.80907869614719319</v>
      </c>
      <c r="K93" s="58">
        <f t="shared" si="6"/>
        <v>0.80907869614719319</v>
      </c>
      <c r="P93" s="19">
        <f t="shared" si="7"/>
        <v>145.58861389215303</v>
      </c>
    </row>
    <row r="94" spans="1:16" ht="47.25">
      <c r="A94" s="21">
        <v>84</v>
      </c>
      <c r="B94" s="14" t="s">
        <v>48</v>
      </c>
      <c r="C94" s="1"/>
      <c r="D94" s="39">
        <v>0.91100000000000003</v>
      </c>
      <c r="E94" s="39">
        <f t="shared" si="4"/>
        <v>0.91100000000000003</v>
      </c>
      <c r="F94" s="7"/>
      <c r="G94" s="58">
        <v>0.89700000000000002</v>
      </c>
      <c r="H94" s="58">
        <f t="shared" si="5"/>
        <v>0.89700000000000002</v>
      </c>
      <c r="I94" s="9"/>
      <c r="J94" s="58">
        <v>0.878</v>
      </c>
      <c r="K94" s="58">
        <f t="shared" si="6"/>
        <v>0.878</v>
      </c>
      <c r="P94" s="19">
        <f t="shared" si="7"/>
        <v>158.21337</v>
      </c>
    </row>
    <row r="95" spans="1:16" ht="31.5">
      <c r="A95" s="21">
        <v>85</v>
      </c>
      <c r="B95" s="14" t="s">
        <v>49</v>
      </c>
      <c r="C95" s="1"/>
      <c r="D95" s="39">
        <v>1.0732183988273889</v>
      </c>
      <c r="E95" s="39">
        <f t="shared" si="4"/>
        <v>1.0732183988273889</v>
      </c>
      <c r="F95" s="7"/>
      <c r="G95" s="58">
        <v>1.0746223393165149</v>
      </c>
      <c r="H95" s="58">
        <f t="shared" si="5"/>
        <v>1.0746223393165149</v>
      </c>
      <c r="I95" s="9"/>
      <c r="J95" s="58">
        <v>1.0796544812640532</v>
      </c>
      <c r="K95" s="58">
        <f t="shared" si="6"/>
        <v>1.0796544812640532</v>
      </c>
      <c r="P95" s="19">
        <f t="shared" si="7"/>
        <v>186.38583932435262</v>
      </c>
    </row>
    <row r="96" spans="1:16" ht="47.25">
      <c r="A96" s="21">
        <v>86</v>
      </c>
      <c r="B96" s="14" t="s">
        <v>233</v>
      </c>
      <c r="C96" s="1"/>
      <c r="D96" s="39">
        <v>1.2554047749372734</v>
      </c>
      <c r="E96" s="39">
        <f t="shared" si="4"/>
        <v>1.2554047749372734</v>
      </c>
      <c r="F96" s="7"/>
      <c r="G96" s="58">
        <v>1.1873441897166959</v>
      </c>
      <c r="H96" s="58">
        <f t="shared" si="5"/>
        <v>1.1873441897166959</v>
      </c>
      <c r="I96" s="9"/>
      <c r="J96" s="58">
        <v>1.2111148178829669</v>
      </c>
      <c r="K96" s="58">
        <f t="shared" si="6"/>
        <v>1.2111148178829669</v>
      </c>
      <c r="P96" s="19">
        <f t="shared" si="7"/>
        <v>218.02614726335625</v>
      </c>
    </row>
    <row r="97" spans="1:16" ht="31.5">
      <c r="A97" s="21">
        <v>87</v>
      </c>
      <c r="B97" s="13" t="s">
        <v>172</v>
      </c>
      <c r="C97" s="1"/>
      <c r="D97" s="39">
        <v>1.4259999999999999</v>
      </c>
      <c r="E97" s="39">
        <f t="shared" si="4"/>
        <v>1.4259999999999999</v>
      </c>
      <c r="F97" s="7"/>
      <c r="G97" s="58">
        <v>1.3919999999999999</v>
      </c>
      <c r="H97" s="58">
        <f t="shared" si="5"/>
        <v>1.3919999999999999</v>
      </c>
      <c r="I97" s="9"/>
      <c r="J97" s="58">
        <v>1.4019999999999999</v>
      </c>
      <c r="K97" s="58">
        <f t="shared" si="6"/>
        <v>1.4019999999999999</v>
      </c>
      <c r="P97" s="19">
        <f t="shared" si="7"/>
        <v>247.65341999999998</v>
      </c>
    </row>
    <row r="98" spans="1:16" ht="47.25">
      <c r="A98" s="21">
        <v>88</v>
      </c>
      <c r="B98" s="14" t="s">
        <v>234</v>
      </c>
      <c r="C98" s="1"/>
      <c r="D98" s="39">
        <v>0.8817227243367004</v>
      </c>
      <c r="E98" s="39">
        <f t="shared" si="4"/>
        <v>0.8817227243367004</v>
      </c>
      <c r="F98" s="7"/>
      <c r="G98" s="58">
        <v>0.89675771212076172</v>
      </c>
      <c r="H98" s="58">
        <f t="shared" si="5"/>
        <v>0.89675771212076172</v>
      </c>
      <c r="I98" s="9"/>
      <c r="J98" s="58">
        <v>0.91121105200989261</v>
      </c>
      <c r="K98" s="58">
        <f t="shared" si="6"/>
        <v>0.91121105200989261</v>
      </c>
      <c r="P98" s="19">
        <f t="shared" si="7"/>
        <v>153.12878553555475</v>
      </c>
    </row>
    <row r="99" spans="1:16" ht="31.5">
      <c r="A99" s="21">
        <v>89</v>
      </c>
      <c r="B99" s="14" t="s">
        <v>50</v>
      </c>
      <c r="C99" s="1"/>
      <c r="D99" s="39">
        <v>0.86751510357289652</v>
      </c>
      <c r="E99" s="39">
        <f t="shared" si="4"/>
        <v>0.86751510357289652</v>
      </c>
      <c r="F99" s="7"/>
      <c r="G99" s="58">
        <v>0.88273775301107138</v>
      </c>
      <c r="H99" s="58">
        <f t="shared" si="5"/>
        <v>0.88273775301107138</v>
      </c>
      <c r="I99" s="9"/>
      <c r="J99" s="58">
        <v>0.86829048263419029</v>
      </c>
      <c r="K99" s="58">
        <f t="shared" si="6"/>
        <v>0.86829048263419029</v>
      </c>
      <c r="P99" s="19">
        <f t="shared" si="7"/>
        <v>150.66134803750492</v>
      </c>
    </row>
    <row r="100" spans="1:16" ht="31.5">
      <c r="A100" s="21">
        <v>90</v>
      </c>
      <c r="B100" s="13" t="s">
        <v>255</v>
      </c>
      <c r="C100" s="1"/>
      <c r="D100" s="39">
        <v>1.1725652338426158</v>
      </c>
      <c r="E100" s="39">
        <f t="shared" si="4"/>
        <v>1.1725652338426158</v>
      </c>
      <c r="F100" s="7"/>
      <c r="G100" s="58">
        <v>1.1873005453796359</v>
      </c>
      <c r="H100" s="58">
        <f t="shared" si="5"/>
        <v>1.1873005453796359</v>
      </c>
      <c r="I100" s="9"/>
      <c r="J100" s="58">
        <v>1.199026160230003</v>
      </c>
      <c r="K100" s="58">
        <f t="shared" si="6"/>
        <v>1.199026160230003</v>
      </c>
      <c r="P100" s="19">
        <f t="shared" si="7"/>
        <v>203.63940416144706</v>
      </c>
    </row>
    <row r="101" spans="1:16" ht="47.25">
      <c r="A101" s="21">
        <v>91</v>
      </c>
      <c r="B101" s="14" t="s">
        <v>51</v>
      </c>
      <c r="C101" s="1"/>
      <c r="D101" s="39">
        <v>0.77403461357084125</v>
      </c>
      <c r="E101" s="39">
        <f t="shared" si="4"/>
        <v>0.77403461357084125</v>
      </c>
      <c r="F101" s="7"/>
      <c r="G101" s="58">
        <v>0.79305881172341663</v>
      </c>
      <c r="H101" s="58">
        <f t="shared" si="5"/>
        <v>0.79305881172341663</v>
      </c>
      <c r="I101" s="9"/>
      <c r="J101" s="58">
        <v>0.78269693866078205</v>
      </c>
      <c r="K101" s="58">
        <f t="shared" si="6"/>
        <v>0.78269693866078205</v>
      </c>
      <c r="P101" s="19">
        <f t="shared" si="7"/>
        <v>134.426591338848</v>
      </c>
    </row>
    <row r="102" spans="1:16" ht="31.5">
      <c r="A102" s="21">
        <v>92</v>
      </c>
      <c r="B102" s="14" t="s">
        <v>235</v>
      </c>
      <c r="C102" s="1"/>
      <c r="D102" s="39">
        <v>1.0366691205811431</v>
      </c>
      <c r="E102" s="39">
        <f t="shared" si="4"/>
        <v>1.0366691205811431</v>
      </c>
      <c r="F102" s="7"/>
      <c r="G102" s="58">
        <v>1.0493515011477967</v>
      </c>
      <c r="H102" s="58">
        <f t="shared" si="5"/>
        <v>1.0493515011477967</v>
      </c>
      <c r="I102" s="9"/>
      <c r="J102" s="58">
        <v>1.067527308838133</v>
      </c>
      <c r="K102" s="58">
        <f t="shared" si="6"/>
        <v>1.067527308838133</v>
      </c>
      <c r="P102" s="19">
        <f t="shared" si="7"/>
        <v>180.03832617132713</v>
      </c>
    </row>
    <row r="103" spans="1:16" ht="31.5">
      <c r="A103" s="21">
        <v>93</v>
      </c>
      <c r="B103" s="14" t="s">
        <v>52</v>
      </c>
      <c r="C103" s="1"/>
      <c r="D103" s="39">
        <v>0.77001103175459296</v>
      </c>
      <c r="E103" s="39">
        <f t="shared" si="4"/>
        <v>0.77001103175459296</v>
      </c>
      <c r="F103" s="7"/>
      <c r="G103" s="58">
        <v>0.78687134810260728</v>
      </c>
      <c r="H103" s="58">
        <f t="shared" si="5"/>
        <v>0.78687134810260728</v>
      </c>
      <c r="I103" s="9"/>
      <c r="J103" s="58">
        <v>0.78284652460280957</v>
      </c>
      <c r="K103" s="58">
        <f t="shared" si="6"/>
        <v>0.78284652460280957</v>
      </c>
      <c r="P103" s="19">
        <f t="shared" si="7"/>
        <v>133.72781588482016</v>
      </c>
    </row>
    <row r="104" spans="1:16" ht="31.5">
      <c r="A104" s="21">
        <v>94</v>
      </c>
      <c r="B104" s="14" t="s">
        <v>236</v>
      </c>
      <c r="C104" s="1"/>
      <c r="D104" s="39">
        <v>1.6050158252526741</v>
      </c>
      <c r="E104" s="39">
        <f t="shared" si="4"/>
        <v>1.6050158252526741</v>
      </c>
      <c r="F104" s="7"/>
      <c r="G104" s="58">
        <v>1.6987798465840125</v>
      </c>
      <c r="H104" s="58">
        <f t="shared" si="5"/>
        <v>1.6987798465840125</v>
      </c>
      <c r="I104" s="9"/>
      <c r="J104" s="58">
        <v>1.6682625221903051</v>
      </c>
      <c r="K104" s="58">
        <f t="shared" si="6"/>
        <v>1.6682625221903051</v>
      </c>
      <c r="P104" s="19">
        <f t="shared" si="7"/>
        <v>278.7430983716319</v>
      </c>
    </row>
    <row r="105" spans="1:16" ht="47.25">
      <c r="A105" s="21">
        <v>95</v>
      </c>
      <c r="B105" s="14" t="s">
        <v>53</v>
      </c>
      <c r="C105" s="1"/>
      <c r="D105" s="39">
        <v>0.8467578697564041</v>
      </c>
      <c r="E105" s="39">
        <f t="shared" si="4"/>
        <v>0.8467578697564041</v>
      </c>
      <c r="F105" s="7"/>
      <c r="G105" s="58">
        <v>0.8420127371633277</v>
      </c>
      <c r="H105" s="58">
        <f t="shared" si="5"/>
        <v>0.8420127371633277</v>
      </c>
      <c r="I105" s="9"/>
      <c r="J105" s="58">
        <v>0.83257958834840828</v>
      </c>
      <c r="K105" s="58">
        <f t="shared" si="6"/>
        <v>0.83257958834840828</v>
      </c>
      <c r="P105" s="19">
        <f t="shared" si="7"/>
        <v>147.0564392405947</v>
      </c>
    </row>
    <row r="106" spans="1:16" ht="47.25">
      <c r="A106" s="21">
        <v>96</v>
      </c>
      <c r="B106" s="14" t="s">
        <v>237</v>
      </c>
      <c r="C106" s="1"/>
      <c r="D106" s="39">
        <v>1.1584707896444648</v>
      </c>
      <c r="E106" s="39">
        <f t="shared" si="4"/>
        <v>1.1584707896444648</v>
      </c>
      <c r="F106" s="7"/>
      <c r="G106" s="58">
        <v>1.1160046252940725</v>
      </c>
      <c r="H106" s="58">
        <f t="shared" si="5"/>
        <v>1.1160046252940725</v>
      </c>
      <c r="I106" s="9"/>
      <c r="J106" s="58">
        <v>1.1066297060227457</v>
      </c>
      <c r="K106" s="58">
        <f t="shared" si="6"/>
        <v>1.1066297060227457</v>
      </c>
      <c r="P106" s="19">
        <f t="shared" si="7"/>
        <v>201.1916220375542</v>
      </c>
    </row>
    <row r="107" spans="1:16" ht="31.5">
      <c r="A107" s="21">
        <v>97</v>
      </c>
      <c r="B107" s="13" t="s">
        <v>252</v>
      </c>
      <c r="C107" s="1"/>
      <c r="D107" s="39">
        <v>1.708</v>
      </c>
      <c r="E107" s="39">
        <f t="shared" si="4"/>
        <v>1.708</v>
      </c>
      <c r="F107" s="7"/>
      <c r="G107" s="58">
        <v>1.472</v>
      </c>
      <c r="H107" s="58">
        <f t="shared" si="5"/>
        <v>1.472</v>
      </c>
      <c r="I107" s="9"/>
      <c r="J107" s="58">
        <v>1.482</v>
      </c>
      <c r="K107" s="58">
        <f t="shared" si="6"/>
        <v>1.482</v>
      </c>
      <c r="P107" s="19">
        <f t="shared" si="7"/>
        <v>296.62835999999999</v>
      </c>
    </row>
    <row r="108" spans="1:16" ht="31.5">
      <c r="A108" s="21">
        <v>98</v>
      </c>
      <c r="B108" s="14" t="s">
        <v>238</v>
      </c>
      <c r="C108" s="1"/>
      <c r="D108" s="39">
        <v>0.90450137563978561</v>
      </c>
      <c r="E108" s="39">
        <f t="shared" si="4"/>
        <v>0.90450137563978561</v>
      </c>
      <c r="F108" s="7"/>
      <c r="G108" s="58">
        <v>0.89454296532709698</v>
      </c>
      <c r="H108" s="58">
        <f t="shared" si="5"/>
        <v>0.89454296532709698</v>
      </c>
      <c r="I108" s="9"/>
      <c r="J108" s="58">
        <v>0.89161959755222342</v>
      </c>
      <c r="K108" s="58">
        <f t="shared" si="6"/>
        <v>0.89161959755222342</v>
      </c>
      <c r="P108" s="19">
        <f t="shared" si="7"/>
        <v>157.08475390736155</v>
      </c>
    </row>
    <row r="109" spans="1:16" ht="31.5">
      <c r="A109" s="21">
        <v>99</v>
      </c>
      <c r="B109" s="14" t="s">
        <v>185</v>
      </c>
      <c r="C109" s="1"/>
      <c r="D109" s="39">
        <v>1.254</v>
      </c>
      <c r="E109" s="39">
        <f t="shared" si="4"/>
        <v>1.254</v>
      </c>
      <c r="F109" s="7"/>
      <c r="G109" s="58">
        <v>1.218</v>
      </c>
      <c r="H109" s="58">
        <f t="shared" si="5"/>
        <v>1.218</v>
      </c>
      <c r="I109" s="9"/>
      <c r="J109" s="58">
        <v>0.89161959755222342</v>
      </c>
      <c r="K109" s="58">
        <f t="shared" si="6"/>
        <v>0.89161959755222342</v>
      </c>
      <c r="P109" s="19">
        <f t="shared" si="7"/>
        <v>217.78217999999998</v>
      </c>
    </row>
    <row r="110" spans="1:16" ht="31.5">
      <c r="A110" s="21">
        <v>100</v>
      </c>
      <c r="B110" s="13" t="s">
        <v>178</v>
      </c>
      <c r="C110" s="1"/>
      <c r="D110" s="39">
        <v>1.431</v>
      </c>
      <c r="E110" s="39">
        <f t="shared" si="4"/>
        <v>1.431</v>
      </c>
      <c r="F110" s="7"/>
      <c r="G110" s="58">
        <v>1.3520000000000001</v>
      </c>
      <c r="H110" s="58">
        <f t="shared" si="5"/>
        <v>1.3520000000000001</v>
      </c>
      <c r="I110" s="9"/>
      <c r="J110" s="58">
        <v>1.331</v>
      </c>
      <c r="K110" s="58">
        <f t="shared" si="6"/>
        <v>1.331</v>
      </c>
      <c r="P110" s="19">
        <f t="shared" si="7"/>
        <v>248.52177</v>
      </c>
    </row>
    <row r="111" spans="1:16" ht="47.25">
      <c r="A111" s="21">
        <v>101</v>
      </c>
      <c r="B111" s="14" t="s">
        <v>54</v>
      </c>
      <c r="C111" s="1"/>
      <c r="D111" s="39">
        <v>1.0658431582487378</v>
      </c>
      <c r="E111" s="39">
        <f t="shared" si="4"/>
        <v>1.0658431582487378</v>
      </c>
      <c r="F111" s="7"/>
      <c r="G111" s="58">
        <v>1.0934890267027164</v>
      </c>
      <c r="H111" s="58">
        <f t="shared" si="5"/>
        <v>1.0934890267027164</v>
      </c>
      <c r="I111" s="9"/>
      <c r="J111" s="58">
        <v>1.0862242462180987</v>
      </c>
      <c r="K111" s="58">
        <f t="shared" si="6"/>
        <v>1.0862242462180987</v>
      </c>
      <c r="P111" s="19">
        <f t="shared" si="7"/>
        <v>185.10498129305827</v>
      </c>
    </row>
    <row r="112" spans="1:16" ht="31.5">
      <c r="A112" s="21">
        <v>102</v>
      </c>
      <c r="B112" s="14" t="s">
        <v>239</v>
      </c>
      <c r="C112" s="1"/>
      <c r="D112" s="39">
        <v>0.94734282439877782</v>
      </c>
      <c r="E112" s="39">
        <f t="shared" si="4"/>
        <v>0.94734282439877782</v>
      </c>
      <c r="F112" s="7"/>
      <c r="G112" s="58">
        <v>0.96875129290482376</v>
      </c>
      <c r="H112" s="58">
        <f t="shared" si="5"/>
        <v>0.96875129290482376</v>
      </c>
      <c r="I112" s="9"/>
      <c r="J112" s="58">
        <v>0.94379899725305227</v>
      </c>
      <c r="K112" s="58">
        <f t="shared" si="6"/>
        <v>0.94379899725305227</v>
      </c>
      <c r="P112" s="19">
        <f t="shared" si="7"/>
        <v>164.52502831333572</v>
      </c>
    </row>
    <row r="113" spans="1:16" ht="47.25">
      <c r="A113" s="21">
        <v>103</v>
      </c>
      <c r="B113" s="14" t="s">
        <v>55</v>
      </c>
      <c r="C113" s="1"/>
      <c r="D113" s="39">
        <v>0.89908184440047023</v>
      </c>
      <c r="E113" s="39">
        <f t="shared" si="4"/>
        <v>0.89908184440047023</v>
      </c>
      <c r="F113" s="7"/>
      <c r="G113" s="58">
        <v>0.88250391149090102</v>
      </c>
      <c r="H113" s="58">
        <f t="shared" si="5"/>
        <v>0.88250391149090102</v>
      </c>
      <c r="I113" s="9"/>
      <c r="J113" s="58">
        <v>0.85895737661560179</v>
      </c>
      <c r="K113" s="58">
        <f t="shared" si="6"/>
        <v>0.85895737661560179</v>
      </c>
      <c r="P113" s="19">
        <f t="shared" si="7"/>
        <v>156.14354391702966</v>
      </c>
    </row>
    <row r="114" spans="1:16" ht="31.5">
      <c r="A114" s="21">
        <v>104</v>
      </c>
      <c r="B114" s="14" t="s">
        <v>240</v>
      </c>
      <c r="C114" s="1"/>
      <c r="D114" s="39">
        <v>0.88523477494867409</v>
      </c>
      <c r="E114" s="39">
        <f t="shared" si="4"/>
        <v>0.88523477494867409</v>
      </c>
      <c r="F114" s="7"/>
      <c r="G114" s="58">
        <v>0.88858838269790219</v>
      </c>
      <c r="H114" s="58">
        <f t="shared" si="5"/>
        <v>0.88858838269790219</v>
      </c>
      <c r="I114" s="9"/>
      <c r="J114" s="58">
        <v>0.8678314703280996</v>
      </c>
      <c r="K114" s="58">
        <f t="shared" si="6"/>
        <v>0.8678314703280996</v>
      </c>
      <c r="P114" s="19">
        <f t="shared" si="7"/>
        <v>153.73872336533623</v>
      </c>
    </row>
    <row r="115" spans="1:16" ht="31.5">
      <c r="A115" s="21">
        <v>105</v>
      </c>
      <c r="B115" s="14" t="s">
        <v>241</v>
      </c>
      <c r="C115" s="1"/>
      <c r="D115" s="39">
        <v>0.87606584412907174</v>
      </c>
      <c r="E115" s="39">
        <f t="shared" si="4"/>
        <v>0.87606584412907174</v>
      </c>
      <c r="F115" s="7"/>
      <c r="G115" s="58">
        <v>0.8666547358612241</v>
      </c>
      <c r="H115" s="58">
        <f t="shared" si="5"/>
        <v>0.8666547358612241</v>
      </c>
      <c r="I115" s="9"/>
      <c r="J115" s="58">
        <v>0.84461949473551712</v>
      </c>
      <c r="K115" s="58">
        <f t="shared" si="6"/>
        <v>0.84461949473551712</v>
      </c>
      <c r="P115" s="19">
        <f t="shared" si="7"/>
        <v>152.14635514989587</v>
      </c>
    </row>
    <row r="116" spans="1:16" ht="47.25">
      <c r="A116" s="21">
        <v>106</v>
      </c>
      <c r="B116" s="14" t="s">
        <v>57</v>
      </c>
      <c r="C116" s="1"/>
      <c r="D116" s="39">
        <v>0.84364796848219759</v>
      </c>
      <c r="E116" s="39">
        <f t="shared" si="4"/>
        <v>0.84364796848219759</v>
      </c>
      <c r="F116" s="7"/>
      <c r="G116" s="58">
        <v>0.86998584759630271</v>
      </c>
      <c r="H116" s="58">
        <f t="shared" si="5"/>
        <v>0.86998584759630271</v>
      </c>
      <c r="I116" s="9"/>
      <c r="J116" s="58">
        <v>0.85881426615704803</v>
      </c>
      <c r="K116" s="58">
        <f t="shared" si="6"/>
        <v>0.85881426615704803</v>
      </c>
      <c r="P116" s="19">
        <f t="shared" si="7"/>
        <v>146.51634268630323</v>
      </c>
    </row>
    <row r="117" spans="1:16" ht="31.5">
      <c r="A117" s="21">
        <v>107</v>
      </c>
      <c r="B117" s="14" t="s">
        <v>242</v>
      </c>
      <c r="C117" s="1"/>
      <c r="D117" s="39">
        <v>0.8404010282623644</v>
      </c>
      <c r="E117" s="39">
        <f t="shared" si="4"/>
        <v>0.8404010282623644</v>
      </c>
      <c r="F117" s="7"/>
      <c r="G117" s="58">
        <v>0.82508639019920949</v>
      </c>
      <c r="H117" s="58">
        <f t="shared" si="5"/>
        <v>0.82508639019920949</v>
      </c>
      <c r="I117" s="9"/>
      <c r="J117" s="58">
        <v>0.81416412556068918</v>
      </c>
      <c r="K117" s="58">
        <f t="shared" si="6"/>
        <v>0.81416412556068918</v>
      </c>
      <c r="P117" s="19">
        <f t="shared" si="7"/>
        <v>145.95244657832481</v>
      </c>
    </row>
    <row r="118" spans="1:16" ht="47.25">
      <c r="A118" s="21">
        <v>108</v>
      </c>
      <c r="B118" s="14" t="s">
        <v>58</v>
      </c>
      <c r="C118" s="1"/>
      <c r="D118" s="39">
        <v>0.80682795307947464</v>
      </c>
      <c r="E118" s="39">
        <f t="shared" si="4"/>
        <v>0.80682795307947464</v>
      </c>
      <c r="F118" s="7"/>
      <c r="G118" s="58">
        <v>0.81062569508748128</v>
      </c>
      <c r="H118" s="58">
        <f t="shared" si="5"/>
        <v>0.81062569508748128</v>
      </c>
      <c r="I118" s="9"/>
      <c r="J118" s="58">
        <v>0.80072159655101316</v>
      </c>
      <c r="K118" s="58">
        <f t="shared" si="6"/>
        <v>0.80072159655101316</v>
      </c>
      <c r="P118" s="19">
        <f t="shared" si="7"/>
        <v>140.12181061131236</v>
      </c>
    </row>
    <row r="119" spans="1:16" ht="47.25">
      <c r="A119" s="21">
        <v>109</v>
      </c>
      <c r="B119" s="14" t="s">
        <v>281</v>
      </c>
      <c r="C119" s="1"/>
      <c r="D119" s="39">
        <v>1.3217839092366057</v>
      </c>
      <c r="E119" s="39">
        <f t="shared" si="4"/>
        <v>1.3217839092366057</v>
      </c>
      <c r="F119" s="7"/>
      <c r="G119" s="58">
        <v>1.5024750682462493</v>
      </c>
      <c r="H119" s="58">
        <f t="shared" si="5"/>
        <v>1.5024750682462493</v>
      </c>
      <c r="I119" s="9"/>
      <c r="J119" s="58">
        <v>1.4400546088800672</v>
      </c>
      <c r="K119" s="58">
        <f t="shared" si="6"/>
        <v>1.4400546088800672</v>
      </c>
      <c r="P119" s="19">
        <f t="shared" si="7"/>
        <v>229.5542115171213</v>
      </c>
    </row>
    <row r="120" spans="1:16" ht="47.25">
      <c r="A120" s="21">
        <v>110</v>
      </c>
      <c r="B120" s="14" t="s">
        <v>225</v>
      </c>
      <c r="C120" s="1"/>
      <c r="D120" s="39">
        <v>1.1571654692133282</v>
      </c>
      <c r="E120" s="39">
        <f t="shared" si="4"/>
        <v>1.1571654692133282</v>
      </c>
      <c r="F120" s="7"/>
      <c r="G120" s="58">
        <v>1.1091946397770995</v>
      </c>
      <c r="H120" s="58">
        <f t="shared" si="5"/>
        <v>1.1091946397770995</v>
      </c>
      <c r="I120" s="9"/>
      <c r="J120" s="58">
        <v>1.1362116934047986</v>
      </c>
      <c r="K120" s="58">
        <f t="shared" si="6"/>
        <v>1.1362116934047986</v>
      </c>
      <c r="P120" s="19">
        <f t="shared" si="7"/>
        <v>200.96492703827869</v>
      </c>
    </row>
    <row r="121" spans="1:16" ht="31.5">
      <c r="A121" s="21">
        <v>111</v>
      </c>
      <c r="B121" s="14" t="s">
        <v>208</v>
      </c>
      <c r="C121" s="1"/>
      <c r="D121" s="39">
        <v>2.031650916909832</v>
      </c>
      <c r="E121" s="39">
        <f t="shared" si="4"/>
        <v>2.031650916909832</v>
      </c>
      <c r="F121" s="7"/>
      <c r="G121" s="58">
        <v>1.9449323635240277</v>
      </c>
      <c r="H121" s="58">
        <f t="shared" si="5"/>
        <v>1.9449323635240277</v>
      </c>
      <c r="I121" s="9"/>
      <c r="J121" s="58">
        <v>1.9327194240321786</v>
      </c>
      <c r="K121" s="58">
        <f t="shared" si="6"/>
        <v>1.9327194240321786</v>
      </c>
      <c r="P121" s="19">
        <f t="shared" si="7"/>
        <v>352.83681473973053</v>
      </c>
    </row>
    <row r="122" spans="1:16" ht="47.25">
      <c r="A122" s="21">
        <v>112</v>
      </c>
      <c r="B122" s="14" t="s">
        <v>25</v>
      </c>
      <c r="C122" s="1"/>
      <c r="D122" s="39">
        <v>0.8500328786648691</v>
      </c>
      <c r="E122" s="39">
        <f t="shared" si="4"/>
        <v>0.8500328786648691</v>
      </c>
      <c r="F122" s="7"/>
      <c r="G122" s="58">
        <v>0.84886489808174403</v>
      </c>
      <c r="H122" s="58">
        <f t="shared" si="5"/>
        <v>0.84886489808174403</v>
      </c>
      <c r="I122" s="9"/>
      <c r="J122" s="58">
        <v>0.83799699376637582</v>
      </c>
      <c r="K122" s="58">
        <f t="shared" si="6"/>
        <v>0.83799699376637582</v>
      </c>
      <c r="P122" s="19">
        <f t="shared" si="7"/>
        <v>147.62521003772781</v>
      </c>
    </row>
    <row r="123" spans="1:16" ht="47.25">
      <c r="A123" s="21">
        <v>113</v>
      </c>
      <c r="B123" s="14" t="s">
        <v>191</v>
      </c>
      <c r="C123" s="1"/>
      <c r="D123" s="39">
        <v>0.87487785300481613</v>
      </c>
      <c r="E123" s="39">
        <f t="shared" si="4"/>
        <v>0.87487785300481613</v>
      </c>
      <c r="F123" s="7"/>
      <c r="G123" s="58">
        <v>0.85998656627305303</v>
      </c>
      <c r="H123" s="58">
        <f t="shared" si="5"/>
        <v>0.85998656627305303</v>
      </c>
      <c r="I123" s="9"/>
      <c r="J123" s="58">
        <v>0.87518250124635</v>
      </c>
      <c r="K123" s="58">
        <f t="shared" si="6"/>
        <v>0.87518250124635</v>
      </c>
      <c r="P123" s="19">
        <f t="shared" si="7"/>
        <v>151.9400367313464</v>
      </c>
    </row>
    <row r="124" spans="1:16" ht="47.25">
      <c r="A124" s="21">
        <v>114</v>
      </c>
      <c r="B124" s="14" t="s">
        <v>203</v>
      </c>
      <c r="C124" s="1"/>
      <c r="D124" s="39">
        <v>0.96922147246709256</v>
      </c>
      <c r="E124" s="39">
        <f t="shared" si="4"/>
        <v>0.96922147246709256</v>
      </c>
      <c r="F124" s="7"/>
      <c r="G124" s="58">
        <v>0.99066825881208254</v>
      </c>
      <c r="H124" s="58">
        <f t="shared" si="5"/>
        <v>0.99066825881208254</v>
      </c>
      <c r="I124" s="9"/>
      <c r="J124" s="58">
        <v>1.0090783041427582</v>
      </c>
      <c r="K124" s="58">
        <f t="shared" si="6"/>
        <v>1.0090783041427582</v>
      </c>
      <c r="P124" s="19">
        <f t="shared" si="7"/>
        <v>168.32469312335996</v>
      </c>
    </row>
    <row r="125" spans="1:16" ht="47.25">
      <c r="A125" s="21">
        <v>115</v>
      </c>
      <c r="B125" s="14" t="s">
        <v>285</v>
      </c>
      <c r="C125" s="1"/>
      <c r="D125" s="39">
        <v>1.071</v>
      </c>
      <c r="E125" s="39">
        <f t="shared" si="4"/>
        <v>1.071</v>
      </c>
      <c r="F125" s="7"/>
      <c r="G125" s="58">
        <v>1.0469999999999999</v>
      </c>
      <c r="H125" s="58">
        <f t="shared" si="5"/>
        <v>1.0469999999999999</v>
      </c>
      <c r="I125" s="9"/>
      <c r="J125" s="58">
        <v>1.008</v>
      </c>
      <c r="K125" s="58">
        <f t="shared" si="6"/>
        <v>1.008</v>
      </c>
      <c r="P125" s="19">
        <f t="shared" si="7"/>
        <v>186.00056999999998</v>
      </c>
    </row>
    <row r="126" spans="1:16" ht="47.25">
      <c r="A126" s="21">
        <v>116</v>
      </c>
      <c r="B126" s="14" t="s">
        <v>56</v>
      </c>
      <c r="C126" s="1"/>
      <c r="D126" s="39">
        <v>0.96220072139664514</v>
      </c>
      <c r="E126" s="39">
        <f t="shared" ref="E126:E129" si="8">C126+D126</f>
        <v>0.96220072139664514</v>
      </c>
      <c r="F126" s="7"/>
      <c r="G126" s="58">
        <v>0.96816902575161834</v>
      </c>
      <c r="H126" s="58">
        <f t="shared" si="5"/>
        <v>0.96816902575161834</v>
      </c>
      <c r="I126" s="9"/>
      <c r="J126" s="58">
        <v>0.93784302886218707</v>
      </c>
      <c r="K126" s="58">
        <f t="shared" si="6"/>
        <v>0.93784302886218707</v>
      </c>
      <c r="P126" s="19">
        <f t="shared" si="7"/>
        <v>167.10539928495535</v>
      </c>
    </row>
    <row r="127" spans="1:16" ht="47.25">
      <c r="A127" s="21">
        <v>117</v>
      </c>
      <c r="B127" s="14" t="s">
        <v>33</v>
      </c>
      <c r="C127" s="1"/>
      <c r="D127" s="39">
        <v>0.77481633634352276</v>
      </c>
      <c r="E127" s="39">
        <f t="shared" si="8"/>
        <v>0.77481633634352276</v>
      </c>
      <c r="F127" s="7"/>
      <c r="G127" s="58">
        <v>0.78928081780675663</v>
      </c>
      <c r="H127" s="58">
        <f t="shared" si="5"/>
        <v>0.78928081780675663</v>
      </c>
      <c r="I127" s="9"/>
      <c r="J127" s="58">
        <v>0.78649111125430482</v>
      </c>
      <c r="K127" s="58">
        <f t="shared" si="6"/>
        <v>0.78649111125430482</v>
      </c>
      <c r="P127" s="19">
        <f t="shared" si="7"/>
        <v>134.56235313277958</v>
      </c>
    </row>
    <row r="128" spans="1:16" ht="47.25">
      <c r="A128" s="21">
        <v>118</v>
      </c>
      <c r="B128" s="14" t="s">
        <v>220</v>
      </c>
      <c r="C128" s="1"/>
      <c r="D128" s="39">
        <v>1.0198480935550804</v>
      </c>
      <c r="E128" s="39">
        <f t="shared" si="8"/>
        <v>1.0198480935550804</v>
      </c>
      <c r="F128" s="7"/>
      <c r="G128" s="58">
        <v>1.0017248242006103</v>
      </c>
      <c r="H128" s="58">
        <f t="shared" si="5"/>
        <v>1.0017248242006103</v>
      </c>
      <c r="I128" s="9"/>
      <c r="J128" s="58">
        <v>1.0365747065412332</v>
      </c>
      <c r="K128" s="58">
        <f t="shared" si="6"/>
        <v>1.0365747065412332</v>
      </c>
      <c r="P128" s="19">
        <f t="shared" si="7"/>
        <v>177.11701840771082</v>
      </c>
    </row>
    <row r="129" spans="1:16" ht="31.5">
      <c r="A129" s="21">
        <v>119</v>
      </c>
      <c r="B129" s="14" t="s">
        <v>243</v>
      </c>
      <c r="C129" s="1"/>
      <c r="D129" s="39">
        <v>0.80401061298382925</v>
      </c>
      <c r="E129" s="39">
        <f t="shared" si="8"/>
        <v>0.80401061298382925</v>
      </c>
      <c r="F129" s="7"/>
      <c r="G129" s="58">
        <v>0.80061080739717139</v>
      </c>
      <c r="H129" s="58">
        <f t="shared" si="5"/>
        <v>0.80061080739717139</v>
      </c>
      <c r="I129" s="9"/>
      <c r="J129" s="58">
        <v>0.79654826605336893</v>
      </c>
      <c r="K129" s="58">
        <f t="shared" si="6"/>
        <v>0.79654826605336893</v>
      </c>
      <c r="P129" s="19">
        <f t="shared" si="7"/>
        <v>139.63252315690161</v>
      </c>
    </row>
    <row r="130" spans="1:16">
      <c r="A130" s="21"/>
      <c r="B130" s="201" t="s">
        <v>286</v>
      </c>
      <c r="C130" s="201"/>
      <c r="D130" s="201"/>
      <c r="E130" s="201"/>
      <c r="F130" s="201"/>
      <c r="G130" s="201"/>
      <c r="H130" s="201"/>
      <c r="I130" s="201"/>
      <c r="J130" s="201"/>
      <c r="K130" s="201"/>
      <c r="P130" s="19">
        <f t="shared" si="7"/>
        <v>0</v>
      </c>
    </row>
    <row r="131" spans="1:16" ht="31.5">
      <c r="A131" s="21">
        <v>1</v>
      </c>
      <c r="B131" s="13" t="s">
        <v>250</v>
      </c>
      <c r="C131" s="1"/>
      <c r="D131" s="39">
        <v>1.0960000000000001</v>
      </c>
      <c r="E131" s="39">
        <f t="shared" si="4"/>
        <v>1.0960000000000001</v>
      </c>
      <c r="F131" s="7"/>
      <c r="G131" s="58">
        <v>1.0697862060423684</v>
      </c>
      <c r="H131" s="58">
        <f t="shared" si="5"/>
        <v>1.0697862060423684</v>
      </c>
      <c r="I131" s="9"/>
      <c r="J131" s="58">
        <v>1.072510588759195</v>
      </c>
      <c r="K131" s="58">
        <f t="shared" si="6"/>
        <v>1.072510588759195</v>
      </c>
      <c r="P131" s="19">
        <f t="shared" si="7"/>
        <v>190.34232</v>
      </c>
    </row>
    <row r="132" spans="1:16" ht="31.5">
      <c r="A132" s="21">
        <v>2</v>
      </c>
      <c r="B132" s="13" t="s">
        <v>253</v>
      </c>
      <c r="C132" s="1"/>
      <c r="D132" s="39">
        <v>1.0449999999999999</v>
      </c>
      <c r="E132" s="39">
        <f t="shared" si="4"/>
        <v>1.0449999999999999</v>
      </c>
      <c r="F132" s="7"/>
      <c r="G132" s="58">
        <v>1.0153264868396756</v>
      </c>
      <c r="H132" s="58">
        <f t="shared" si="5"/>
        <v>1.0153264868396756</v>
      </c>
      <c r="I132" s="9"/>
      <c r="J132" s="58">
        <v>1.022235252626972</v>
      </c>
      <c r="K132" s="58">
        <f t="shared" si="6"/>
        <v>1.022235252626972</v>
      </c>
      <c r="P132" s="19">
        <f t="shared" si="7"/>
        <v>181.48514999999998</v>
      </c>
    </row>
    <row r="133" spans="1:16" ht="31.5">
      <c r="A133" s="21">
        <v>3</v>
      </c>
      <c r="B133" s="13" t="s">
        <v>252</v>
      </c>
      <c r="C133" s="1"/>
      <c r="D133" s="39">
        <v>0.86199999999999999</v>
      </c>
      <c r="E133" s="39">
        <f t="shared" si="4"/>
        <v>0.86199999999999999</v>
      </c>
      <c r="F133" s="7"/>
      <c r="G133" s="58">
        <v>0.93167581555530599</v>
      </c>
      <c r="H133" s="58">
        <f t="shared" si="5"/>
        <v>0.93167581555530599</v>
      </c>
      <c r="I133" s="9"/>
      <c r="J133" s="58">
        <v>0.91440414675892501</v>
      </c>
      <c r="K133" s="58">
        <f t="shared" si="6"/>
        <v>0.91440414675892501</v>
      </c>
      <c r="P133" s="19">
        <f t="shared" si="7"/>
        <v>149.70353999999998</v>
      </c>
    </row>
    <row r="134" spans="1:16" ht="31.5">
      <c r="A134" s="21">
        <v>4</v>
      </c>
      <c r="B134" s="14" t="s">
        <v>221</v>
      </c>
      <c r="C134" s="1"/>
      <c r="D134" s="39">
        <v>0.53</v>
      </c>
      <c r="E134" s="39">
        <f t="shared" si="4"/>
        <v>0.53</v>
      </c>
      <c r="F134" s="7"/>
      <c r="G134" s="58">
        <v>0.68023854326231914</v>
      </c>
      <c r="H134" s="58">
        <f t="shared" si="5"/>
        <v>0.68023854326231914</v>
      </c>
      <c r="I134" s="9"/>
      <c r="J134" s="58">
        <v>0.66687643531063756</v>
      </c>
      <c r="K134" s="58">
        <f t="shared" si="6"/>
        <v>0.66687643531063756</v>
      </c>
      <c r="P134" s="19">
        <f t="shared" si="7"/>
        <v>92.045100000000005</v>
      </c>
    </row>
    <row r="135" spans="1:16">
      <c r="A135" s="21"/>
      <c r="B135" s="201" t="s">
        <v>287</v>
      </c>
      <c r="C135" s="201"/>
      <c r="D135" s="201"/>
      <c r="E135" s="201"/>
      <c r="F135" s="201"/>
      <c r="G135" s="201"/>
      <c r="H135" s="201"/>
      <c r="I135" s="201"/>
      <c r="J135" s="201"/>
      <c r="K135" s="201"/>
      <c r="P135" s="19">
        <f t="shared" si="7"/>
        <v>0</v>
      </c>
    </row>
    <row r="136" spans="1:16" ht="47.25">
      <c r="A136" s="21">
        <v>1</v>
      </c>
      <c r="B136" s="13" t="s">
        <v>164</v>
      </c>
      <c r="C136" s="1"/>
      <c r="D136" s="39">
        <v>1.376618793241345</v>
      </c>
      <c r="E136" s="39">
        <f t="shared" si="4"/>
        <v>1.376618793241345</v>
      </c>
      <c r="F136" s="7"/>
      <c r="G136" s="58">
        <v>1.3202385404160681</v>
      </c>
      <c r="H136" s="58">
        <f t="shared" si="5"/>
        <v>1.3202385404160681</v>
      </c>
      <c r="I136" s="9"/>
      <c r="J136" s="58">
        <v>1.334733035407027</v>
      </c>
      <c r="K136" s="58">
        <f t="shared" si="6"/>
        <v>1.334733035407027</v>
      </c>
      <c r="P136" s="19">
        <f t="shared" si="7"/>
        <v>239.07738582222436</v>
      </c>
    </row>
    <row r="137" spans="1:16" ht="47.25">
      <c r="A137" s="21">
        <v>2</v>
      </c>
      <c r="B137" s="13" t="s">
        <v>165</v>
      </c>
      <c r="C137" s="1"/>
      <c r="D137" s="39">
        <v>1.043387822106721</v>
      </c>
      <c r="E137" s="39">
        <f t="shared" si="4"/>
        <v>1.043387822106721</v>
      </c>
      <c r="F137" s="7"/>
      <c r="G137" s="58">
        <v>1.061797887950735</v>
      </c>
      <c r="H137" s="58">
        <f t="shared" si="5"/>
        <v>1.061797887950735</v>
      </c>
      <c r="I137" s="9"/>
      <c r="J137" s="58">
        <v>1.0693678545215801</v>
      </c>
      <c r="K137" s="58">
        <f t="shared" si="6"/>
        <v>1.0693678545215801</v>
      </c>
      <c r="P137" s="19">
        <f t="shared" si="7"/>
        <v>181.20516306527423</v>
      </c>
    </row>
    <row r="138" spans="1:16" ht="31.5">
      <c r="A138" s="21">
        <v>3</v>
      </c>
      <c r="B138" s="13" t="s">
        <v>171</v>
      </c>
      <c r="C138" s="1"/>
      <c r="D138" s="39">
        <v>1.2831177997932894</v>
      </c>
      <c r="E138" s="39">
        <f t="shared" si="4"/>
        <v>1.2831177997932894</v>
      </c>
      <c r="F138" s="7"/>
      <c r="G138" s="58">
        <v>1.3242060914717335</v>
      </c>
      <c r="H138" s="58">
        <f t="shared" si="5"/>
        <v>1.3242060914717335</v>
      </c>
      <c r="I138" s="9"/>
      <c r="J138" s="58">
        <v>1.3273188510932026</v>
      </c>
      <c r="K138" s="58">
        <f t="shared" si="6"/>
        <v>1.3273188510932026</v>
      </c>
      <c r="P138" s="19">
        <f t="shared" si="7"/>
        <v>222.83906829010056</v>
      </c>
    </row>
    <row r="139" spans="1:16" ht="47.25">
      <c r="A139" s="21">
        <v>4</v>
      </c>
      <c r="B139" s="13" t="s">
        <v>168</v>
      </c>
      <c r="C139" s="1"/>
      <c r="D139" s="39">
        <v>1.1214145367522994</v>
      </c>
      <c r="E139" s="39">
        <f t="shared" si="4"/>
        <v>1.1214145367522994</v>
      </c>
      <c r="F139" s="7"/>
      <c r="G139" s="58">
        <v>1.1644623696456502</v>
      </c>
      <c r="H139" s="58">
        <f t="shared" si="5"/>
        <v>1.1644623696456502</v>
      </c>
      <c r="I139" s="9"/>
      <c r="J139" s="58">
        <v>1.1602671897871175</v>
      </c>
      <c r="K139" s="58">
        <f t="shared" si="6"/>
        <v>1.1602671897871175</v>
      </c>
      <c r="P139" s="19">
        <f t="shared" si="7"/>
        <v>194.75606259777183</v>
      </c>
    </row>
    <row r="140" spans="1:16" ht="31.5">
      <c r="A140" s="21">
        <v>5</v>
      </c>
      <c r="B140" s="13" t="s">
        <v>163</v>
      </c>
      <c r="C140" s="1"/>
      <c r="D140" s="39">
        <v>1.452536040079484</v>
      </c>
      <c r="E140" s="39">
        <f t="shared" si="4"/>
        <v>1.452536040079484</v>
      </c>
      <c r="F140" s="7"/>
      <c r="G140" s="58">
        <v>1.4012067358829787</v>
      </c>
      <c r="H140" s="58">
        <f t="shared" si="5"/>
        <v>1.4012067358829787</v>
      </c>
      <c r="I140" s="9"/>
      <c r="J140" s="58">
        <v>1.4128126593152504</v>
      </c>
      <c r="K140" s="58">
        <f t="shared" si="6"/>
        <v>1.4128126593152504</v>
      </c>
      <c r="P140" s="19">
        <f t="shared" ref="P140:P164" si="9">D140*173.67</f>
        <v>252.26193408060396</v>
      </c>
    </row>
    <row r="141" spans="1:16" ht="47.25">
      <c r="A141" s="21">
        <v>6</v>
      </c>
      <c r="B141" s="13" t="s">
        <v>170</v>
      </c>
      <c r="C141" s="1"/>
      <c r="D141" s="59">
        <v>1.0204182601683134</v>
      </c>
      <c r="E141" s="39">
        <f t="shared" si="4"/>
        <v>1.0204182601683134</v>
      </c>
      <c r="F141" s="7"/>
      <c r="G141" s="58">
        <v>1.0873818624009324</v>
      </c>
      <c r="H141" s="58">
        <f t="shared" si="5"/>
        <v>1.0873818624009324</v>
      </c>
      <c r="I141" s="9"/>
      <c r="J141" s="58">
        <v>1.0789814973807443</v>
      </c>
      <c r="K141" s="58">
        <f t="shared" si="6"/>
        <v>1.0789814973807443</v>
      </c>
      <c r="P141" s="19">
        <f t="shared" si="9"/>
        <v>177.21603924343097</v>
      </c>
    </row>
    <row r="142" spans="1:16" ht="31.5">
      <c r="A142" s="21">
        <v>7</v>
      </c>
      <c r="B142" s="13" t="s">
        <v>169</v>
      </c>
      <c r="C142" s="1"/>
      <c r="D142" s="60">
        <v>1.2412812174590895</v>
      </c>
      <c r="E142" s="39">
        <f t="shared" ref="E142:E164" si="10">C142+D142</f>
        <v>1.2412812174590895</v>
      </c>
      <c r="F142" s="7"/>
      <c r="G142" s="58">
        <v>1.1767924649500749</v>
      </c>
      <c r="H142" s="58">
        <f t="shared" ref="H142" si="11">G142</f>
        <v>1.1767924649500749</v>
      </c>
      <c r="I142" s="9"/>
      <c r="J142" s="58">
        <v>1.1851918739556078</v>
      </c>
      <c r="K142" s="58">
        <f t="shared" ref="K142:K164" si="12">J142</f>
        <v>1.1851918739556078</v>
      </c>
      <c r="P142" s="19">
        <f t="shared" si="9"/>
        <v>215.57330903612007</v>
      </c>
    </row>
    <row r="143" spans="1:16" ht="31.5">
      <c r="A143" s="21">
        <v>8</v>
      </c>
      <c r="B143" s="13" t="s">
        <v>167</v>
      </c>
      <c r="C143" s="1"/>
      <c r="D143" s="59">
        <v>0.87534596534067155</v>
      </c>
      <c r="E143" s="39">
        <f t="shared" si="10"/>
        <v>0.87534596534067155</v>
      </c>
      <c r="F143" s="7"/>
      <c r="G143" s="58">
        <v>0.88326906685858853</v>
      </c>
      <c r="H143" s="58">
        <f>G143</f>
        <v>0.88326906685858853</v>
      </c>
      <c r="I143" s="9"/>
      <c r="J143" s="58">
        <v>0.86540469007461895</v>
      </c>
      <c r="K143" s="58">
        <f t="shared" si="12"/>
        <v>0.86540469007461895</v>
      </c>
      <c r="P143" s="19">
        <f t="shared" si="9"/>
        <v>152.02133380071442</v>
      </c>
    </row>
    <row r="144" spans="1:16" ht="47.25">
      <c r="A144" s="21">
        <v>9</v>
      </c>
      <c r="B144" s="13" t="s">
        <v>173</v>
      </c>
      <c r="C144" s="1"/>
      <c r="D144" s="58">
        <v>1.2246011672515997</v>
      </c>
      <c r="E144" s="39">
        <f t="shared" si="10"/>
        <v>1.2246011672515997</v>
      </c>
      <c r="F144" s="1"/>
      <c r="G144" s="58">
        <v>1.2287946458401824</v>
      </c>
      <c r="H144" s="58">
        <f t="shared" ref="H144:H164" si="13">G144</f>
        <v>1.2287946458401824</v>
      </c>
      <c r="I144" s="1"/>
      <c r="J144" s="58">
        <v>1.2371325561858906</v>
      </c>
      <c r="K144" s="58">
        <f t="shared" si="12"/>
        <v>1.2371325561858906</v>
      </c>
      <c r="P144" s="19">
        <f t="shared" si="9"/>
        <v>212.67648471658532</v>
      </c>
    </row>
    <row r="145" spans="1:16" ht="31.5">
      <c r="A145" s="21">
        <v>10</v>
      </c>
      <c r="B145" s="13" t="s">
        <v>174</v>
      </c>
      <c r="C145" s="1"/>
      <c r="D145" s="58">
        <v>2.2557830822785827</v>
      </c>
      <c r="E145" s="39">
        <f t="shared" si="10"/>
        <v>2.2557830822785827</v>
      </c>
      <c r="F145" s="1"/>
      <c r="G145" s="58">
        <v>1.8959239504812138</v>
      </c>
      <c r="H145" s="58">
        <f t="shared" si="13"/>
        <v>1.8959239504812138</v>
      </c>
      <c r="I145" s="1"/>
      <c r="J145" s="58">
        <v>1.9625905439773041</v>
      </c>
      <c r="K145" s="58">
        <f t="shared" si="12"/>
        <v>1.9625905439773041</v>
      </c>
      <c r="P145" s="19">
        <f t="shared" si="9"/>
        <v>391.76184789932142</v>
      </c>
    </row>
    <row r="146" spans="1:16" ht="31.5">
      <c r="A146" s="21">
        <v>11</v>
      </c>
      <c r="B146" s="13" t="s">
        <v>175</v>
      </c>
      <c r="C146" s="1"/>
      <c r="D146" s="58">
        <v>1.4286974715773022</v>
      </c>
      <c r="E146" s="39">
        <f t="shared" si="10"/>
        <v>1.4286974715773022</v>
      </c>
      <c r="F146" s="1"/>
      <c r="G146" s="58">
        <v>1.4167414097052549</v>
      </c>
      <c r="H146" s="58">
        <f t="shared" si="13"/>
        <v>1.4167414097052549</v>
      </c>
      <c r="I146" s="1"/>
      <c r="J146" s="58">
        <v>1.417640502789612</v>
      </c>
      <c r="K146" s="58">
        <f t="shared" si="12"/>
        <v>1.417640502789612</v>
      </c>
      <c r="P146" s="19">
        <f t="shared" si="9"/>
        <v>248.12188988883005</v>
      </c>
    </row>
    <row r="147" spans="1:16" ht="47.25">
      <c r="A147" s="21">
        <v>12</v>
      </c>
      <c r="B147" s="13" t="s">
        <v>166</v>
      </c>
      <c r="C147" s="1"/>
      <c r="D147" s="58">
        <v>0.79179552905556638</v>
      </c>
      <c r="E147" s="39">
        <f t="shared" si="10"/>
        <v>0.79179552905556638</v>
      </c>
      <c r="F147" s="1"/>
      <c r="G147" s="58">
        <v>0.81206914232973648</v>
      </c>
      <c r="H147" s="58">
        <f t="shared" si="13"/>
        <v>0.81206914232973648</v>
      </c>
      <c r="I147" s="1"/>
      <c r="J147" s="58">
        <v>0.81865405828299864</v>
      </c>
      <c r="K147" s="58">
        <f t="shared" si="12"/>
        <v>0.81865405828299864</v>
      </c>
      <c r="P147" s="19">
        <f t="shared" si="9"/>
        <v>137.5111295310802</v>
      </c>
    </row>
    <row r="148" spans="1:16" ht="31.5">
      <c r="A148" s="21">
        <v>13</v>
      </c>
      <c r="B148" s="13" t="s">
        <v>172</v>
      </c>
      <c r="C148" s="1"/>
      <c r="D148" s="58">
        <v>0.90450561731662849</v>
      </c>
      <c r="E148" s="39">
        <f t="shared" si="10"/>
        <v>0.90450561731662849</v>
      </c>
      <c r="F148" s="1"/>
      <c r="G148" s="58">
        <v>0.91159702677347199</v>
      </c>
      <c r="H148" s="58">
        <f t="shared" si="13"/>
        <v>0.91159702677347199</v>
      </c>
      <c r="I148" s="1"/>
      <c r="J148" s="58">
        <v>0.91223494291078089</v>
      </c>
      <c r="K148" s="58">
        <f t="shared" si="12"/>
        <v>0.91223494291078089</v>
      </c>
      <c r="P148" s="19">
        <f t="shared" si="9"/>
        <v>157.08549055937885</v>
      </c>
    </row>
    <row r="149" spans="1:16" ht="47.25">
      <c r="A149" s="21">
        <v>14</v>
      </c>
      <c r="B149" s="13" t="s">
        <v>176</v>
      </c>
      <c r="C149" s="1"/>
      <c r="D149" s="58">
        <v>0.72210825833774483</v>
      </c>
      <c r="E149" s="39">
        <f t="shared" si="10"/>
        <v>0.72210825833774483</v>
      </c>
      <c r="F149" s="1"/>
      <c r="G149" s="58">
        <v>0.76396406148517004</v>
      </c>
      <c r="H149" s="58">
        <f t="shared" si="13"/>
        <v>0.76396406148517004</v>
      </c>
      <c r="I149" s="1"/>
      <c r="J149" s="58">
        <v>0.7542009048102668</v>
      </c>
      <c r="K149" s="58">
        <f t="shared" si="12"/>
        <v>0.7542009048102668</v>
      </c>
      <c r="P149" s="19">
        <f t="shared" si="9"/>
        <v>125.40854122551613</v>
      </c>
    </row>
    <row r="150" spans="1:16" ht="47.25">
      <c r="A150" s="21">
        <v>15</v>
      </c>
      <c r="B150" s="13" t="s">
        <v>247</v>
      </c>
      <c r="C150" s="1"/>
      <c r="D150" s="58">
        <v>0.65257997736144646</v>
      </c>
      <c r="E150" s="39">
        <f t="shared" si="10"/>
        <v>0.65257997736144646</v>
      </c>
      <c r="F150" s="1"/>
      <c r="G150" s="58">
        <v>0.6989159304885969</v>
      </c>
      <c r="H150" s="58">
        <f t="shared" si="13"/>
        <v>0.6989159304885969</v>
      </c>
      <c r="I150" s="1"/>
      <c r="J150" s="58">
        <v>0.69020494470478821</v>
      </c>
      <c r="K150" s="58">
        <f t="shared" si="12"/>
        <v>0.69020494470478821</v>
      </c>
      <c r="P150" s="19">
        <f t="shared" si="9"/>
        <v>113.3335646683624</v>
      </c>
    </row>
    <row r="151" spans="1:16" ht="31.5">
      <c r="A151" s="21">
        <v>16</v>
      </c>
      <c r="B151" s="13" t="s">
        <v>177</v>
      </c>
      <c r="C151" s="1"/>
      <c r="D151" s="58">
        <v>0.57790718193047463</v>
      </c>
      <c r="E151" s="39">
        <f t="shared" si="10"/>
        <v>0.57790718193047463</v>
      </c>
      <c r="F151" s="1"/>
      <c r="G151" s="58">
        <v>0.62453039236911478</v>
      </c>
      <c r="H151" s="58">
        <f t="shared" si="13"/>
        <v>0.62453039236911478</v>
      </c>
      <c r="I151" s="1"/>
      <c r="J151" s="58">
        <v>0.60895468888321647</v>
      </c>
      <c r="K151" s="58">
        <f t="shared" si="12"/>
        <v>0.60895468888321647</v>
      </c>
      <c r="P151" s="19">
        <f t="shared" si="9"/>
        <v>100.36514028586552</v>
      </c>
    </row>
    <row r="152" spans="1:16" ht="31.5">
      <c r="A152" s="21">
        <v>17</v>
      </c>
      <c r="B152" s="13" t="s">
        <v>178</v>
      </c>
      <c r="C152" s="1"/>
      <c r="D152" s="58">
        <v>0.88877124875007352</v>
      </c>
      <c r="E152" s="39">
        <f t="shared" si="10"/>
        <v>0.88877124875007352</v>
      </c>
      <c r="F152" s="1"/>
      <c r="G152" s="58">
        <v>0.86714296023670334</v>
      </c>
      <c r="H152" s="58">
        <f t="shared" si="13"/>
        <v>0.86714296023670334</v>
      </c>
      <c r="I152" s="1"/>
      <c r="J152" s="58">
        <v>0.8478749269073339</v>
      </c>
      <c r="K152" s="58">
        <f t="shared" si="12"/>
        <v>0.8478749269073339</v>
      </c>
      <c r="P152" s="19">
        <f t="shared" si="9"/>
        <v>154.35290277042526</v>
      </c>
    </row>
    <row r="153" spans="1:16" ht="31.5">
      <c r="A153" s="21">
        <v>18</v>
      </c>
      <c r="B153" s="13" t="s">
        <v>248</v>
      </c>
      <c r="C153" s="1"/>
      <c r="D153" s="58">
        <v>0.78796835480265881</v>
      </c>
      <c r="E153" s="39">
        <f t="shared" si="10"/>
        <v>0.78796835480265881</v>
      </c>
      <c r="F153" s="1"/>
      <c r="G153" s="58">
        <v>0.81850328353900559</v>
      </c>
      <c r="H153" s="58">
        <f t="shared" si="13"/>
        <v>0.81850328353900559</v>
      </c>
      <c r="I153" s="1"/>
      <c r="J153" s="58">
        <v>0.81833010186809474</v>
      </c>
      <c r="K153" s="58">
        <f t="shared" si="12"/>
        <v>0.81833010186809474</v>
      </c>
      <c r="P153" s="19">
        <f t="shared" si="9"/>
        <v>136.84646417857775</v>
      </c>
    </row>
    <row r="154" spans="1:16" ht="47.25">
      <c r="A154" s="21">
        <v>19</v>
      </c>
      <c r="B154" s="13" t="s">
        <v>179</v>
      </c>
      <c r="C154" s="1"/>
      <c r="D154" s="58">
        <v>0.69822096026436942</v>
      </c>
      <c r="E154" s="39">
        <f t="shared" si="10"/>
        <v>0.69822096026436942</v>
      </c>
      <c r="F154" s="1"/>
      <c r="G154" s="58">
        <v>0.7200824000997198</v>
      </c>
      <c r="H154" s="58">
        <f t="shared" si="13"/>
        <v>0.7200824000997198</v>
      </c>
      <c r="I154" s="1"/>
      <c r="J154" s="58">
        <v>0.72742940437520809</v>
      </c>
      <c r="K154" s="58">
        <f t="shared" si="12"/>
        <v>0.72742940437520809</v>
      </c>
      <c r="P154" s="19">
        <f t="shared" si="9"/>
        <v>121.26003416911303</v>
      </c>
    </row>
    <row r="155" spans="1:16" ht="47.25">
      <c r="A155" s="21">
        <v>20</v>
      </c>
      <c r="B155" s="13" t="s">
        <v>180</v>
      </c>
      <c r="C155" s="1"/>
      <c r="D155" s="58">
        <v>0.54958816464306648</v>
      </c>
      <c r="E155" s="39">
        <f t="shared" si="10"/>
        <v>0.54958816464306648</v>
      </c>
      <c r="F155" s="1"/>
      <c r="G155" s="58">
        <v>0.56247337435138178</v>
      </c>
      <c r="H155" s="58">
        <f t="shared" si="13"/>
        <v>0.56247337435138178</v>
      </c>
      <c r="I155" s="1"/>
      <c r="J155" s="58">
        <v>0.56066666468112736</v>
      </c>
      <c r="K155" s="58">
        <f t="shared" si="12"/>
        <v>0.56066666468112736</v>
      </c>
      <c r="P155" s="19">
        <f t="shared" si="9"/>
        <v>95.446976553561342</v>
      </c>
    </row>
    <row r="156" spans="1:16" ht="47.25">
      <c r="A156" s="21">
        <v>21</v>
      </c>
      <c r="B156" s="13" t="s">
        <v>249</v>
      </c>
      <c r="C156" s="1"/>
      <c r="D156" s="58">
        <v>0.53443771600235856</v>
      </c>
      <c r="E156" s="39">
        <f t="shared" si="10"/>
        <v>0.53443771600235856</v>
      </c>
      <c r="F156" s="1"/>
      <c r="G156" s="58">
        <v>0.53226598514090795</v>
      </c>
      <c r="H156" s="58">
        <f t="shared" si="13"/>
        <v>0.53226598514090795</v>
      </c>
      <c r="I156" s="1"/>
      <c r="J156" s="58">
        <v>0.52874427737906782</v>
      </c>
      <c r="K156" s="58">
        <f t="shared" si="12"/>
        <v>0.52874427737906782</v>
      </c>
      <c r="P156" s="19">
        <f t="shared" si="9"/>
        <v>92.815798138129608</v>
      </c>
    </row>
    <row r="157" spans="1:16" ht="47.25">
      <c r="A157" s="21">
        <v>22</v>
      </c>
      <c r="B157" s="13" t="s">
        <v>181</v>
      </c>
      <c r="C157" s="1"/>
      <c r="D157" s="58">
        <v>0.71659387683077458</v>
      </c>
      <c r="E157" s="39">
        <f t="shared" si="10"/>
        <v>0.71659387683077458</v>
      </c>
      <c r="F157" s="1"/>
      <c r="G157" s="58">
        <v>0.72499458757306778</v>
      </c>
      <c r="H157" s="58">
        <f t="shared" si="13"/>
        <v>0.72499458757306778</v>
      </c>
      <c r="I157" s="1"/>
      <c r="J157" s="58">
        <v>0.73169605761240886</v>
      </c>
      <c r="K157" s="58">
        <f t="shared" si="12"/>
        <v>0.73169605761240886</v>
      </c>
      <c r="P157" s="19">
        <f t="shared" si="9"/>
        <v>124.45085858920061</v>
      </c>
    </row>
    <row r="158" spans="1:16" ht="31.5">
      <c r="A158" s="21">
        <v>23</v>
      </c>
      <c r="B158" s="13" t="s">
        <v>182</v>
      </c>
      <c r="C158" s="1"/>
      <c r="D158" s="58">
        <v>0.6713208046585496</v>
      </c>
      <c r="E158" s="39">
        <f t="shared" si="10"/>
        <v>0.6713208046585496</v>
      </c>
      <c r="F158" s="1"/>
      <c r="G158" s="58">
        <v>0.69398138125135311</v>
      </c>
      <c r="H158" s="58">
        <f t="shared" si="13"/>
        <v>0.69398138125135311</v>
      </c>
      <c r="I158" s="1"/>
      <c r="J158" s="58">
        <v>0.70053549995383624</v>
      </c>
      <c r="K158" s="58">
        <f t="shared" si="12"/>
        <v>0.70053549995383624</v>
      </c>
      <c r="P158" s="19">
        <f t="shared" si="9"/>
        <v>116.5882841450503</v>
      </c>
    </row>
    <row r="159" spans="1:16" ht="31.5">
      <c r="A159" s="21">
        <v>24</v>
      </c>
      <c r="B159" s="13" t="s">
        <v>183</v>
      </c>
      <c r="C159" s="1"/>
      <c r="D159" s="58">
        <v>0.72098700076466093</v>
      </c>
      <c r="E159" s="39">
        <f t="shared" si="10"/>
        <v>0.72098700076466093</v>
      </c>
      <c r="F159" s="1"/>
      <c r="G159" s="58">
        <v>0.73702821678574004</v>
      </c>
      <c r="H159" s="58">
        <f t="shared" si="13"/>
        <v>0.73702821678574004</v>
      </c>
      <c r="I159" s="1"/>
      <c r="J159" s="58">
        <v>0.7448527375126951</v>
      </c>
      <c r="K159" s="58">
        <f t="shared" si="12"/>
        <v>0.7448527375126951</v>
      </c>
      <c r="P159" s="19">
        <f t="shared" si="9"/>
        <v>125.21381242279865</v>
      </c>
    </row>
    <row r="160" spans="1:16" ht="47.25">
      <c r="A160" s="21">
        <v>25</v>
      </c>
      <c r="B160" s="14" t="s">
        <v>48</v>
      </c>
      <c r="C160" s="1"/>
      <c r="D160" s="58">
        <v>0.65952002823363343</v>
      </c>
      <c r="E160" s="39">
        <f t="shared" si="10"/>
        <v>0.65952002823363343</v>
      </c>
      <c r="F160" s="1"/>
      <c r="G160" s="58">
        <v>0.67114093959731547</v>
      </c>
      <c r="H160" s="58">
        <f t="shared" si="13"/>
        <v>0.67114093959731547</v>
      </c>
      <c r="I160" s="1"/>
      <c r="J160" s="58">
        <v>0.65189865069839215</v>
      </c>
      <c r="K160" s="58">
        <f t="shared" si="12"/>
        <v>0.65189865069839215</v>
      </c>
      <c r="P160" s="19">
        <f t="shared" si="9"/>
        <v>114.53884330333511</v>
      </c>
    </row>
    <row r="161" spans="1:16" ht="47.25">
      <c r="A161" s="21">
        <v>26</v>
      </c>
      <c r="B161" s="14" t="s">
        <v>184</v>
      </c>
      <c r="C161" s="1"/>
      <c r="D161" s="58">
        <v>0.72844979707076052</v>
      </c>
      <c r="E161" s="39">
        <f t="shared" si="10"/>
        <v>0.72844979707076052</v>
      </c>
      <c r="F161" s="1"/>
      <c r="G161" s="58">
        <v>0.73500757739770528</v>
      </c>
      <c r="H161" s="58">
        <f t="shared" si="13"/>
        <v>0.73500757739770528</v>
      </c>
      <c r="I161" s="1"/>
      <c r="J161" s="58">
        <v>0.70284368941002684</v>
      </c>
      <c r="K161" s="58">
        <f t="shared" si="12"/>
        <v>0.70284368941002684</v>
      </c>
      <c r="P161" s="19">
        <f t="shared" si="9"/>
        <v>126.50987625727898</v>
      </c>
    </row>
    <row r="162" spans="1:16" ht="31.5">
      <c r="A162" s="21">
        <v>27</v>
      </c>
      <c r="B162" s="14" t="s">
        <v>185</v>
      </c>
      <c r="C162" s="1"/>
      <c r="D162" s="58">
        <v>0.80261385184624989</v>
      </c>
      <c r="E162" s="39">
        <f t="shared" si="10"/>
        <v>0.80261385184624989</v>
      </c>
      <c r="F162" s="1"/>
      <c r="G162" s="58">
        <v>0.80536912751677847</v>
      </c>
      <c r="H162" s="58">
        <f t="shared" si="13"/>
        <v>0.80536912751677847</v>
      </c>
      <c r="I162" s="1"/>
      <c r="J162" s="58">
        <v>0.78024131204816283</v>
      </c>
      <c r="K162" s="58">
        <f t="shared" si="12"/>
        <v>0.78024131204816283</v>
      </c>
      <c r="P162" s="19">
        <f t="shared" si="9"/>
        <v>139.3899476501382</v>
      </c>
    </row>
    <row r="163" spans="1:16" ht="31.5">
      <c r="A163" s="21">
        <v>28</v>
      </c>
      <c r="B163" s="14" t="s">
        <v>221</v>
      </c>
      <c r="C163" s="1"/>
      <c r="D163" s="58">
        <v>0.69015548105013436</v>
      </c>
      <c r="E163" s="39">
        <f t="shared" si="10"/>
        <v>0.69015548105013436</v>
      </c>
      <c r="F163" s="1"/>
      <c r="G163" s="58">
        <v>0.72983570277356813</v>
      </c>
      <c r="H163" s="58">
        <f t="shared" si="13"/>
        <v>0.72983570277356813</v>
      </c>
      <c r="I163" s="1"/>
      <c r="J163" s="58">
        <v>0.72836200617568925</v>
      </c>
      <c r="K163" s="58">
        <f t="shared" si="12"/>
        <v>0.72836200617568925</v>
      </c>
      <c r="P163" s="19">
        <f t="shared" si="9"/>
        <v>119.85930239397682</v>
      </c>
    </row>
    <row r="164" spans="1:16" ht="31.5">
      <c r="A164" s="21">
        <v>29</v>
      </c>
      <c r="B164" s="13" t="s">
        <v>244</v>
      </c>
      <c r="C164" s="1"/>
      <c r="D164" s="58">
        <v>0.5836972825127934</v>
      </c>
      <c r="E164" s="39">
        <f t="shared" si="10"/>
        <v>0.5836972825127934</v>
      </c>
      <c r="F164" s="1"/>
      <c r="G164" s="58">
        <v>0.61647542758172769</v>
      </c>
      <c r="H164" s="58">
        <f t="shared" si="13"/>
        <v>0.61647542758172769</v>
      </c>
      <c r="I164" s="1"/>
      <c r="J164" s="58">
        <v>0.62003739266919033</v>
      </c>
      <c r="K164" s="58">
        <f t="shared" si="12"/>
        <v>0.62003739266919033</v>
      </c>
      <c r="P164" s="19">
        <f t="shared" si="9"/>
        <v>101.37070705399682</v>
      </c>
    </row>
  </sheetData>
  <mergeCells count="8">
    <mergeCell ref="B2:J4"/>
    <mergeCell ref="B10:K10"/>
    <mergeCell ref="B130:K130"/>
    <mergeCell ref="B135:K135"/>
    <mergeCell ref="B9:K9"/>
    <mergeCell ref="C8:E8"/>
    <mergeCell ref="F8:H8"/>
    <mergeCell ref="I8:K8"/>
  </mergeCells>
  <pageMargins left="0.36" right="0.21" top="0.32" bottom="0.33" header="0.3" footer="0.3"/>
  <pageSetup paperSize="9" scale="79" orientation="landscape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>
  <dimension ref="A1:BU156"/>
  <sheetViews>
    <sheetView view="pageBreakPreview" zoomScale="90" zoomScaleSheetLayoutView="90" workbookViewId="0">
      <pane ySplit="1410" topLeftCell="A131" activePane="bottomLeft"/>
      <selection sqref="A1:XFD1048576"/>
      <selection pane="bottomLeft" activeCell="M97" sqref="M97"/>
    </sheetView>
  </sheetViews>
  <sheetFormatPr defaultRowHeight="15"/>
  <cols>
    <col min="1" max="1" width="15" style="25" customWidth="1"/>
    <col min="2" max="2" width="11.7109375" style="25" customWidth="1"/>
    <col min="3" max="3" width="10.85546875" style="25" customWidth="1"/>
    <col min="4" max="4" width="9.7109375" style="25" customWidth="1"/>
    <col min="5" max="5" width="11" style="25" customWidth="1"/>
    <col min="6" max="6" width="9.85546875" style="25" customWidth="1"/>
    <col min="7" max="7" width="10" style="25" bestFit="1" customWidth="1"/>
    <col min="8" max="8" width="9.5703125" style="25" bestFit="1" customWidth="1"/>
    <col min="9" max="9" width="9.42578125" style="25" customWidth="1"/>
    <col min="10" max="10" width="11.140625" style="25" bestFit="1" customWidth="1"/>
    <col min="11" max="11" width="10" style="25" bestFit="1" customWidth="1"/>
    <col min="12" max="12" width="10.140625" style="25" bestFit="1" customWidth="1"/>
    <col min="13" max="13" width="11.140625" style="25" bestFit="1" customWidth="1"/>
    <col min="14" max="14" width="10" style="25" customWidth="1"/>
    <col min="15" max="15" width="12.85546875" style="25" bestFit="1" customWidth="1"/>
    <col min="16" max="16" width="15.42578125" style="25" bestFit="1" customWidth="1"/>
    <col min="17" max="17" width="10.42578125" style="25" customWidth="1"/>
    <col min="18" max="18" width="10.7109375" style="25" bestFit="1" customWidth="1"/>
    <col min="19" max="19" width="10.42578125" style="80" bestFit="1" customWidth="1"/>
    <col min="20" max="21" width="9.42578125" style="80" bestFit="1" customWidth="1"/>
    <col min="22" max="23" width="9.140625" style="80"/>
    <col min="24" max="73" width="9.140625" style="87"/>
    <col min="74" max="16384" width="9.140625" style="25"/>
  </cols>
  <sheetData>
    <row r="1" spans="1:73">
      <c r="A1" s="207" t="s">
        <v>273</v>
      </c>
      <c r="B1" s="207"/>
      <c r="C1" s="78"/>
      <c r="D1" s="78"/>
      <c r="E1" s="79">
        <v>0.9</v>
      </c>
      <c r="F1" s="79">
        <v>0.5</v>
      </c>
      <c r="G1" s="79">
        <v>1</v>
      </c>
      <c r="H1" s="78"/>
      <c r="I1" s="78"/>
      <c r="J1" s="78"/>
      <c r="K1" s="78"/>
      <c r="L1" s="78"/>
      <c r="M1" s="78"/>
    </row>
    <row r="2" spans="1:73" ht="42.75">
      <c r="A2" s="5" t="s">
        <v>11</v>
      </c>
      <c r="B2" s="81" t="s">
        <v>260</v>
      </c>
      <c r="C2" s="71">
        <v>211</v>
      </c>
      <c r="D2" s="71">
        <v>213</v>
      </c>
      <c r="E2" s="71" t="s">
        <v>13</v>
      </c>
      <c r="F2" s="71" t="s">
        <v>267</v>
      </c>
      <c r="G2" s="71" t="s">
        <v>12</v>
      </c>
      <c r="H2" s="71" t="s">
        <v>14</v>
      </c>
      <c r="I2" s="71" t="s">
        <v>269</v>
      </c>
      <c r="J2" s="71" t="s">
        <v>15</v>
      </c>
      <c r="K2" s="72" t="s">
        <v>23</v>
      </c>
      <c r="L2" s="73" t="s">
        <v>261</v>
      </c>
      <c r="M2" s="82" t="s">
        <v>262</v>
      </c>
      <c r="N2" s="124" t="s">
        <v>292</v>
      </c>
      <c r="O2" s="7"/>
      <c r="P2" s="83" t="s">
        <v>294</v>
      </c>
      <c r="Q2" s="74" t="s">
        <v>293</v>
      </c>
      <c r="R2" s="74" t="s">
        <v>293</v>
      </c>
      <c r="S2" s="75"/>
      <c r="T2" s="76"/>
      <c r="U2" s="76"/>
    </row>
    <row r="3" spans="1:73" s="87" customFormat="1" ht="15.75" hidden="1">
      <c r="A3" s="208" t="s">
        <v>264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10"/>
      <c r="R3" s="84"/>
      <c r="S3" s="85"/>
      <c r="T3" s="85"/>
      <c r="U3" s="86"/>
      <c r="V3" s="86"/>
      <c r="W3" s="80"/>
    </row>
    <row r="4" spans="1:73" ht="18.75" hidden="1">
      <c r="A4" s="88" t="s">
        <v>268</v>
      </c>
      <c r="B4" s="89"/>
      <c r="C4" s="52"/>
      <c r="D4" s="52"/>
      <c r="E4" s="44"/>
      <c r="F4" s="44"/>
      <c r="G4" s="44"/>
      <c r="H4" s="90"/>
      <c r="I4" s="90"/>
      <c r="J4" s="90"/>
      <c r="K4" s="90"/>
      <c r="L4" s="90"/>
      <c r="M4" s="91">
        <f t="shared" ref="M4:M14" si="0">ROUND(C4+D4+H4+J4+L4+(F4/2)+G4+(E4*0.9),1)</f>
        <v>0</v>
      </c>
      <c r="N4" s="125">
        <f t="shared" ref="N4:N14" si="1">ROUND(K4+(F4-(F4/2))+(E4*0.1),1)</f>
        <v>0</v>
      </c>
      <c r="O4" s="125" t="e">
        <f>ROUND(#REF!+#REF!,1)</f>
        <v>#REF!</v>
      </c>
      <c r="P4" s="93" t="e">
        <f>#REF!/#REF!</f>
        <v>#REF!</v>
      </c>
      <c r="Q4" s="94" t="e">
        <f>P4/23.095</f>
        <v>#REF!</v>
      </c>
      <c r="R4" s="95">
        <f t="shared" ref="R4:R14" si="2">SUM(C4:L4)</f>
        <v>0</v>
      </c>
      <c r="S4" s="85"/>
      <c r="T4" s="85"/>
    </row>
    <row r="5" spans="1:73" ht="24" hidden="1" customHeight="1">
      <c r="A5" s="88">
        <v>75</v>
      </c>
      <c r="B5" s="89"/>
      <c r="C5" s="52"/>
      <c r="D5" s="52"/>
      <c r="E5" s="44"/>
      <c r="F5" s="44"/>
      <c r="G5" s="44"/>
      <c r="H5" s="90"/>
      <c r="I5" s="90"/>
      <c r="J5" s="96"/>
      <c r="K5" s="44"/>
      <c r="L5" s="97"/>
      <c r="M5" s="91">
        <f t="shared" si="0"/>
        <v>0</v>
      </c>
      <c r="N5" s="125">
        <f t="shared" si="1"/>
        <v>0</v>
      </c>
      <c r="O5" s="125" t="e">
        <f>ROUND(#REF!+#REF!,1)</f>
        <v>#REF!</v>
      </c>
      <c r="P5" s="93" t="e">
        <f>#REF!/#REF!</f>
        <v>#REF!</v>
      </c>
      <c r="Q5" s="94" t="e">
        <f t="shared" ref="Q5:Q14" si="3">P5/23.095</f>
        <v>#REF!</v>
      </c>
      <c r="R5" s="95">
        <f t="shared" si="2"/>
        <v>0</v>
      </c>
      <c r="S5" s="85"/>
      <c r="T5" s="85"/>
    </row>
    <row r="6" spans="1:73" ht="18.75" hidden="1">
      <c r="A6" s="88">
        <v>106</v>
      </c>
      <c r="B6" s="89"/>
      <c r="C6" s="52"/>
      <c r="D6" s="52"/>
      <c r="E6" s="44"/>
      <c r="F6" s="44"/>
      <c r="G6" s="44"/>
      <c r="H6" s="90"/>
      <c r="I6" s="90"/>
      <c r="J6" s="96"/>
      <c r="K6" s="44"/>
      <c r="L6" s="97"/>
      <c r="M6" s="91">
        <f t="shared" si="0"/>
        <v>0</v>
      </c>
      <c r="N6" s="125">
        <f t="shared" si="1"/>
        <v>0</v>
      </c>
      <c r="O6" s="125" t="e">
        <f>ROUND(#REF!+#REF!,1)</f>
        <v>#REF!</v>
      </c>
      <c r="P6" s="93" t="e">
        <f>#REF!/#REF!</f>
        <v>#REF!</v>
      </c>
      <c r="Q6" s="94" t="e">
        <f t="shared" si="3"/>
        <v>#REF!</v>
      </c>
      <c r="R6" s="95">
        <f t="shared" si="2"/>
        <v>0</v>
      </c>
      <c r="S6" s="85"/>
      <c r="T6" s="85"/>
    </row>
    <row r="7" spans="1:73" ht="18.75" hidden="1">
      <c r="A7" s="88">
        <v>139</v>
      </c>
      <c r="B7" s="89"/>
      <c r="C7" s="52"/>
      <c r="D7" s="52"/>
      <c r="E7" s="44"/>
      <c r="F7" s="44"/>
      <c r="G7" s="44"/>
      <c r="H7" s="90"/>
      <c r="I7" s="90"/>
      <c r="J7" s="96"/>
      <c r="K7" s="44"/>
      <c r="L7" s="97"/>
      <c r="M7" s="91">
        <f t="shared" si="0"/>
        <v>0</v>
      </c>
      <c r="N7" s="125">
        <f t="shared" si="1"/>
        <v>0</v>
      </c>
      <c r="O7" s="125" t="e">
        <f>ROUND(#REF!+#REF!,1)</f>
        <v>#REF!</v>
      </c>
      <c r="P7" s="93" t="e">
        <f>#REF!/#REF!</f>
        <v>#REF!</v>
      </c>
      <c r="Q7" s="94" t="e">
        <f t="shared" si="3"/>
        <v>#REF!</v>
      </c>
      <c r="R7" s="95">
        <f t="shared" si="2"/>
        <v>0</v>
      </c>
      <c r="S7" s="85"/>
      <c r="T7" s="85"/>
    </row>
    <row r="8" spans="1:73" ht="18.75" hidden="1">
      <c r="A8" s="88">
        <v>159</v>
      </c>
      <c r="B8" s="89"/>
      <c r="C8" s="52"/>
      <c r="D8" s="52"/>
      <c r="E8" s="44"/>
      <c r="F8" s="44"/>
      <c r="G8" s="44"/>
      <c r="H8" s="90"/>
      <c r="I8" s="90"/>
      <c r="J8" s="98"/>
      <c r="K8" s="97"/>
      <c r="L8" s="44"/>
      <c r="M8" s="91">
        <f t="shared" si="0"/>
        <v>0</v>
      </c>
      <c r="N8" s="125">
        <f t="shared" si="1"/>
        <v>0</v>
      </c>
      <c r="O8" s="125" t="e">
        <f>ROUND(#REF!+#REF!,1)</f>
        <v>#REF!</v>
      </c>
      <c r="P8" s="93" t="e">
        <f>#REF!/#REF!</f>
        <v>#REF!</v>
      </c>
      <c r="Q8" s="94" t="e">
        <f t="shared" si="3"/>
        <v>#REF!</v>
      </c>
      <c r="R8" s="95">
        <f t="shared" si="2"/>
        <v>0</v>
      </c>
      <c r="S8" s="85"/>
      <c r="T8" s="85"/>
    </row>
    <row r="9" spans="1:73" ht="18.75" hidden="1">
      <c r="A9" s="88">
        <v>173</v>
      </c>
      <c r="B9" s="89"/>
      <c r="C9" s="52"/>
      <c r="D9" s="52"/>
      <c r="E9" s="44"/>
      <c r="F9" s="44"/>
      <c r="G9" s="44"/>
      <c r="H9" s="90"/>
      <c r="I9" s="90"/>
      <c r="J9" s="98"/>
      <c r="K9" s="97"/>
      <c r="L9" s="44"/>
      <c r="M9" s="91">
        <f t="shared" si="0"/>
        <v>0</v>
      </c>
      <c r="N9" s="125">
        <f t="shared" si="1"/>
        <v>0</v>
      </c>
      <c r="O9" s="125" t="e">
        <f>ROUND(#REF!+#REF!,1)</f>
        <v>#REF!</v>
      </c>
      <c r="P9" s="93" t="e">
        <f>#REF!/#REF!</f>
        <v>#REF!</v>
      </c>
      <c r="Q9" s="94" t="e">
        <f t="shared" si="3"/>
        <v>#REF!</v>
      </c>
      <c r="R9" s="95">
        <f t="shared" si="2"/>
        <v>0</v>
      </c>
      <c r="S9" s="85"/>
      <c r="T9" s="85"/>
    </row>
    <row r="10" spans="1:73" ht="18.75" hidden="1">
      <c r="A10" s="88">
        <v>84</v>
      </c>
      <c r="B10" s="89"/>
      <c r="C10" s="97"/>
      <c r="D10" s="99"/>
      <c r="E10" s="100"/>
      <c r="F10" s="90"/>
      <c r="G10" s="90"/>
      <c r="H10" s="90"/>
      <c r="I10" s="90"/>
      <c r="J10" s="98"/>
      <c r="K10" s="44"/>
      <c r="L10" s="44"/>
      <c r="M10" s="91">
        <f t="shared" si="0"/>
        <v>0</v>
      </c>
      <c r="N10" s="125">
        <f t="shared" si="1"/>
        <v>0</v>
      </c>
      <c r="O10" s="125" t="e">
        <f>ROUND(#REF!+#REF!,1)</f>
        <v>#REF!</v>
      </c>
      <c r="P10" s="93" t="e">
        <f>#REF!/#REF!</f>
        <v>#REF!</v>
      </c>
      <c r="Q10" s="94" t="e">
        <f t="shared" si="3"/>
        <v>#REF!</v>
      </c>
      <c r="R10" s="95">
        <f t="shared" si="2"/>
        <v>0</v>
      </c>
      <c r="S10" s="85"/>
      <c r="T10" s="85"/>
    </row>
    <row r="11" spans="1:73" ht="18.75" hidden="1">
      <c r="A11" s="88">
        <v>101</v>
      </c>
      <c r="B11" s="89"/>
      <c r="C11" s="97"/>
      <c r="D11" s="99"/>
      <c r="E11" s="100"/>
      <c r="F11" s="90"/>
      <c r="G11" s="90"/>
      <c r="H11" s="90"/>
      <c r="I11" s="90"/>
      <c r="J11" s="98"/>
      <c r="K11" s="44"/>
      <c r="L11" s="44"/>
      <c r="M11" s="91">
        <f t="shared" si="0"/>
        <v>0</v>
      </c>
      <c r="N11" s="125">
        <f t="shared" si="1"/>
        <v>0</v>
      </c>
      <c r="O11" s="125" t="e">
        <f>ROUND(#REF!+#REF!,1)</f>
        <v>#REF!</v>
      </c>
      <c r="P11" s="93" t="e">
        <f>#REF!/#REF!</f>
        <v>#REF!</v>
      </c>
      <c r="Q11" s="94" t="e">
        <f t="shared" si="3"/>
        <v>#REF!</v>
      </c>
      <c r="R11" s="95">
        <f t="shared" si="2"/>
        <v>0</v>
      </c>
      <c r="S11" s="85"/>
      <c r="T11" s="85"/>
    </row>
    <row r="12" spans="1:73" ht="18.75" hidden="1">
      <c r="A12" s="101">
        <v>85</v>
      </c>
      <c r="B12" s="89"/>
      <c r="C12" s="52"/>
      <c r="D12" s="52"/>
      <c r="E12" s="44"/>
      <c r="F12" s="44"/>
      <c r="G12" s="44"/>
      <c r="H12" s="90"/>
      <c r="I12" s="90"/>
      <c r="J12" s="96"/>
      <c r="K12" s="44"/>
      <c r="L12" s="97"/>
      <c r="M12" s="91">
        <f t="shared" si="0"/>
        <v>0</v>
      </c>
      <c r="N12" s="125">
        <f t="shared" si="1"/>
        <v>0</v>
      </c>
      <c r="O12" s="125" t="e">
        <f>ROUND(#REF!+#REF!,1)</f>
        <v>#REF!</v>
      </c>
      <c r="P12" s="93" t="e">
        <f>#REF!/#REF!</f>
        <v>#REF!</v>
      </c>
      <c r="Q12" s="94" t="e">
        <f t="shared" si="3"/>
        <v>#REF!</v>
      </c>
      <c r="R12" s="95">
        <f t="shared" si="2"/>
        <v>0</v>
      </c>
      <c r="S12" s="85"/>
      <c r="T12" s="85"/>
    </row>
    <row r="13" spans="1:73" ht="18.75" hidden="1">
      <c r="A13" s="88">
        <v>40</v>
      </c>
      <c r="B13" s="89"/>
      <c r="C13" s="52"/>
      <c r="D13" s="52"/>
      <c r="E13" s="44"/>
      <c r="F13" s="44"/>
      <c r="G13" s="44"/>
      <c r="H13" s="90"/>
      <c r="I13" s="90"/>
      <c r="J13" s="98"/>
      <c r="K13" s="97"/>
      <c r="L13" s="44"/>
      <c r="M13" s="91">
        <f t="shared" si="0"/>
        <v>0</v>
      </c>
      <c r="N13" s="125">
        <f t="shared" si="1"/>
        <v>0</v>
      </c>
      <c r="O13" s="125" t="e">
        <f>ROUND(#REF!+#REF!,1)</f>
        <v>#REF!</v>
      </c>
      <c r="P13" s="93" t="e">
        <f>#REF!/#REF!</f>
        <v>#REF!</v>
      </c>
      <c r="Q13" s="94" t="e">
        <f t="shared" si="3"/>
        <v>#REF!</v>
      </c>
      <c r="R13" s="95">
        <f t="shared" si="2"/>
        <v>0</v>
      </c>
      <c r="S13" s="85"/>
      <c r="T13" s="85"/>
    </row>
    <row r="14" spans="1:73" ht="18.75" hidden="1">
      <c r="A14" s="88">
        <v>115</v>
      </c>
      <c r="B14" s="89"/>
      <c r="C14" s="52"/>
      <c r="D14" s="52"/>
      <c r="E14" s="44"/>
      <c r="F14" s="44"/>
      <c r="G14" s="44"/>
      <c r="H14" s="90"/>
      <c r="I14" s="90"/>
      <c r="J14" s="98"/>
      <c r="K14" s="97"/>
      <c r="L14" s="44"/>
      <c r="M14" s="91">
        <f t="shared" si="0"/>
        <v>0</v>
      </c>
      <c r="N14" s="125">
        <f t="shared" si="1"/>
        <v>0</v>
      </c>
      <c r="O14" s="125" t="e">
        <f>ROUND(#REF!+#REF!,1)</f>
        <v>#REF!</v>
      </c>
      <c r="P14" s="93" t="e">
        <f>#REF!/#REF!</f>
        <v>#REF!</v>
      </c>
      <c r="Q14" s="94" t="e">
        <f t="shared" si="3"/>
        <v>#REF!</v>
      </c>
      <c r="R14" s="95">
        <f t="shared" si="2"/>
        <v>0</v>
      </c>
      <c r="S14" s="85"/>
      <c r="T14" s="85"/>
    </row>
    <row r="15" spans="1:73" s="105" customFormat="1" hidden="1">
      <c r="A15" s="119" t="s">
        <v>16</v>
      </c>
      <c r="B15" s="102">
        <f t="shared" ref="B15:R15" si="4">SUM(B4:B14)</f>
        <v>0</v>
      </c>
      <c r="C15" s="103">
        <f t="shared" si="4"/>
        <v>0</v>
      </c>
      <c r="D15" s="103">
        <f t="shared" si="4"/>
        <v>0</v>
      </c>
      <c r="E15" s="103">
        <f t="shared" si="4"/>
        <v>0</v>
      </c>
      <c r="F15" s="103">
        <f t="shared" si="4"/>
        <v>0</v>
      </c>
      <c r="G15" s="103">
        <f t="shared" si="4"/>
        <v>0</v>
      </c>
      <c r="H15" s="103">
        <f t="shared" si="4"/>
        <v>0</v>
      </c>
      <c r="I15" s="103">
        <f t="shared" si="4"/>
        <v>0</v>
      </c>
      <c r="J15" s="103">
        <f t="shared" si="4"/>
        <v>0</v>
      </c>
      <c r="K15" s="103">
        <f t="shared" si="4"/>
        <v>0</v>
      </c>
      <c r="L15" s="103">
        <f t="shared" si="4"/>
        <v>0</v>
      </c>
      <c r="M15" s="103">
        <f t="shared" si="4"/>
        <v>0</v>
      </c>
      <c r="N15" s="103">
        <f t="shared" si="4"/>
        <v>0</v>
      </c>
      <c r="O15" s="103" t="e">
        <f t="shared" si="4"/>
        <v>#REF!</v>
      </c>
      <c r="P15" s="103" t="e">
        <f t="shared" si="4"/>
        <v>#REF!</v>
      </c>
      <c r="Q15" s="103" t="e">
        <f t="shared" si="4"/>
        <v>#REF!</v>
      </c>
      <c r="R15" s="104">
        <f t="shared" si="4"/>
        <v>0</v>
      </c>
      <c r="S15" s="85"/>
      <c r="T15" s="85"/>
      <c r="U15" s="80"/>
      <c r="V15" s="80"/>
      <c r="W15" s="80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</row>
    <row r="16" spans="1:73" ht="15.75" hidden="1">
      <c r="A16" s="211" t="s">
        <v>265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3"/>
      <c r="R16" s="95">
        <f t="shared" ref="R16:R28" si="5">SUM(C16:L16)</f>
        <v>0</v>
      </c>
      <c r="S16" s="85"/>
      <c r="T16" s="85"/>
    </row>
    <row r="17" spans="1:73" ht="18.75">
      <c r="A17" s="7" t="s">
        <v>66</v>
      </c>
      <c r="B17" s="89">
        <v>155</v>
      </c>
      <c r="C17" s="51">
        <v>741</v>
      </c>
      <c r="D17" s="51">
        <v>164.1</v>
      </c>
      <c r="E17" s="63">
        <v>203</v>
      </c>
      <c r="F17" s="63">
        <v>771.6</v>
      </c>
      <c r="G17" s="63">
        <v>78.7</v>
      </c>
      <c r="H17" s="64"/>
      <c r="I17" s="64"/>
      <c r="J17" s="42">
        <v>154</v>
      </c>
      <c r="K17" s="42">
        <v>30.7</v>
      </c>
      <c r="L17" s="42">
        <f>665.4+51.6</f>
        <v>717</v>
      </c>
      <c r="M17" s="123">
        <f t="shared" ref="M17:M48" si="6">ROUND(C17+D17+H17+J17+L17+(F17/2)+G17+(E17*0.9),1)</f>
        <v>2423.3000000000002</v>
      </c>
      <c r="N17" s="125">
        <f t="shared" ref="N17:N60" si="7">ROUND(K17+(F17-(F17/2))+(E17*0.1),1)</f>
        <v>436.8</v>
      </c>
      <c r="O17" s="39">
        <f>ROUND(M17/B17,3)</f>
        <v>15.634</v>
      </c>
      <c r="P17" s="93">
        <f>O17/20.585</f>
        <v>0.75948506193830456</v>
      </c>
      <c r="Q17" s="92">
        <f>M17+N17</f>
        <v>2860.1000000000004</v>
      </c>
      <c r="R17" s="95">
        <f>SUM(C17:L17)</f>
        <v>2860.0999999999995</v>
      </c>
      <c r="S17" s="85"/>
      <c r="T17" s="85"/>
      <c r="U17" s="77"/>
    </row>
    <row r="18" spans="1:73" s="107" customFormat="1" ht="18.75">
      <c r="A18" s="120">
        <v>16</v>
      </c>
      <c r="B18" s="106">
        <v>82</v>
      </c>
      <c r="C18" s="52">
        <v>741</v>
      </c>
      <c r="D18" s="52">
        <v>164.1</v>
      </c>
      <c r="E18" s="65">
        <v>294.7</v>
      </c>
      <c r="F18" s="65">
        <v>384.9</v>
      </c>
      <c r="G18" s="65">
        <v>57.1</v>
      </c>
      <c r="H18" s="66"/>
      <c r="I18" s="66"/>
      <c r="J18" s="90">
        <v>154</v>
      </c>
      <c r="K18" s="42">
        <v>31</v>
      </c>
      <c r="L18" s="90">
        <f>896.2+69.4</f>
        <v>965.6</v>
      </c>
      <c r="M18" s="123">
        <f t="shared" si="6"/>
        <v>2539.5</v>
      </c>
      <c r="N18" s="125">
        <f t="shared" si="7"/>
        <v>252.9</v>
      </c>
      <c r="O18" s="39">
        <f t="shared" ref="O18:O81" si="8">ROUND(M18/B18,3)</f>
        <v>30.97</v>
      </c>
      <c r="P18" s="93">
        <f t="shared" ref="P18:P81" si="9">O18/20.585</f>
        <v>1.5044935632742287</v>
      </c>
      <c r="Q18" s="92">
        <f t="shared" ref="Q18:Q81" si="10">M18+N18</f>
        <v>2792.4</v>
      </c>
      <c r="R18" s="95">
        <f t="shared" si="5"/>
        <v>2792.3999999999996</v>
      </c>
      <c r="S18" s="85"/>
      <c r="T18" s="85"/>
      <c r="U18" s="77"/>
      <c r="V18" s="80"/>
      <c r="W18" s="80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</row>
    <row r="19" spans="1:73" ht="18.75">
      <c r="A19" s="7" t="s">
        <v>67</v>
      </c>
      <c r="B19" s="89">
        <v>123</v>
      </c>
      <c r="C19" s="51">
        <v>647.20000000000005</v>
      </c>
      <c r="D19" s="51">
        <v>143.30000000000001</v>
      </c>
      <c r="E19" s="63">
        <v>275.10000000000002</v>
      </c>
      <c r="F19" s="63">
        <v>297.39999999999998</v>
      </c>
      <c r="G19" s="63">
        <v>82.4</v>
      </c>
      <c r="H19" s="64"/>
      <c r="I19" s="64"/>
      <c r="J19" s="108">
        <v>130</v>
      </c>
      <c r="K19" s="42">
        <v>16.7</v>
      </c>
      <c r="L19" s="6">
        <f>527.2+40.8</f>
        <v>568</v>
      </c>
      <c r="M19" s="123">
        <f t="shared" si="6"/>
        <v>1967.2</v>
      </c>
      <c r="N19" s="125">
        <f t="shared" si="7"/>
        <v>192.9</v>
      </c>
      <c r="O19" s="39">
        <f t="shared" si="8"/>
        <v>15.993</v>
      </c>
      <c r="P19" s="93">
        <f t="shared" si="9"/>
        <v>0.77692494534855472</v>
      </c>
      <c r="Q19" s="92">
        <f t="shared" si="10"/>
        <v>2160.1</v>
      </c>
      <c r="R19" s="95">
        <f t="shared" si="5"/>
        <v>2160.1000000000004</v>
      </c>
      <c r="S19" s="85"/>
      <c r="T19" s="85"/>
      <c r="U19" s="77"/>
    </row>
    <row r="20" spans="1:73" ht="18.75">
      <c r="A20" s="7" t="s">
        <v>68</v>
      </c>
      <c r="B20" s="89">
        <v>183</v>
      </c>
      <c r="C20" s="51">
        <v>811.4</v>
      </c>
      <c r="D20" s="51">
        <v>179.7</v>
      </c>
      <c r="E20" s="63">
        <v>206.3</v>
      </c>
      <c r="F20" s="63">
        <v>350.6</v>
      </c>
      <c r="G20" s="63">
        <v>62.8</v>
      </c>
      <c r="H20" s="64"/>
      <c r="I20" s="64"/>
      <c r="J20" s="108">
        <v>154</v>
      </c>
      <c r="K20" s="42">
        <v>24</v>
      </c>
      <c r="L20" s="6">
        <f>858.1+66.4</f>
        <v>924.5</v>
      </c>
      <c r="M20" s="123">
        <f t="shared" si="6"/>
        <v>2493.4</v>
      </c>
      <c r="N20" s="125">
        <f t="shared" si="7"/>
        <v>219.9</v>
      </c>
      <c r="O20" s="39">
        <f t="shared" si="8"/>
        <v>13.625</v>
      </c>
      <c r="P20" s="93">
        <f t="shared" si="9"/>
        <v>0.66188972552829728</v>
      </c>
      <c r="Q20" s="92">
        <f t="shared" si="10"/>
        <v>2713.3</v>
      </c>
      <c r="R20" s="95">
        <f t="shared" si="5"/>
        <v>2713.3</v>
      </c>
      <c r="S20" s="85"/>
      <c r="T20" s="85"/>
      <c r="U20" s="77"/>
    </row>
    <row r="21" spans="1:73" ht="18.75">
      <c r="A21" s="7" t="s">
        <v>69</v>
      </c>
      <c r="B21" s="89">
        <v>173</v>
      </c>
      <c r="C21" s="51">
        <v>741</v>
      </c>
      <c r="D21" s="51">
        <v>164.1</v>
      </c>
      <c r="E21" s="63">
        <v>278.3</v>
      </c>
      <c r="F21" s="63">
        <v>479.4</v>
      </c>
      <c r="G21" s="63">
        <v>48.3</v>
      </c>
      <c r="H21" s="64"/>
      <c r="I21" s="64"/>
      <c r="J21" s="108">
        <v>154</v>
      </c>
      <c r="K21" s="42">
        <v>20.9</v>
      </c>
      <c r="L21" s="6">
        <f>745.3+57.7</f>
        <v>803</v>
      </c>
      <c r="M21" s="123">
        <f t="shared" si="6"/>
        <v>2400.6</v>
      </c>
      <c r="N21" s="125">
        <f t="shared" si="7"/>
        <v>288.39999999999998</v>
      </c>
      <c r="O21" s="39">
        <f t="shared" si="8"/>
        <v>13.875999999999999</v>
      </c>
      <c r="P21" s="93">
        <f t="shared" si="9"/>
        <v>0.67408307019674518</v>
      </c>
      <c r="Q21" s="92">
        <f t="shared" si="10"/>
        <v>2689</v>
      </c>
      <c r="R21" s="95">
        <f t="shared" si="5"/>
        <v>2689</v>
      </c>
      <c r="S21" s="85"/>
      <c r="T21" s="85"/>
      <c r="U21" s="77"/>
    </row>
    <row r="22" spans="1:73" ht="18.75">
      <c r="A22" s="7" t="s">
        <v>70</v>
      </c>
      <c r="B22" s="89">
        <v>207</v>
      </c>
      <c r="C22" s="51">
        <v>787.9</v>
      </c>
      <c r="D22" s="51">
        <v>174.5</v>
      </c>
      <c r="E22" s="63">
        <v>225.9</v>
      </c>
      <c r="F22" s="63">
        <v>537.1</v>
      </c>
      <c r="G22" s="63">
        <v>57.4</v>
      </c>
      <c r="H22" s="64"/>
      <c r="I22" s="64"/>
      <c r="J22" s="108">
        <v>154</v>
      </c>
      <c r="K22" s="42">
        <v>28.8</v>
      </c>
      <c r="L22" s="6">
        <f>987.2+76.5</f>
        <v>1063.7</v>
      </c>
      <c r="M22" s="123">
        <f t="shared" si="6"/>
        <v>2709.4</v>
      </c>
      <c r="N22" s="125">
        <f t="shared" si="7"/>
        <v>319.89999999999998</v>
      </c>
      <c r="O22" s="39">
        <f t="shared" si="8"/>
        <v>13.089</v>
      </c>
      <c r="P22" s="93">
        <f t="shared" si="9"/>
        <v>0.63585134806898225</v>
      </c>
      <c r="Q22" s="92">
        <f t="shared" si="10"/>
        <v>3029.3</v>
      </c>
      <c r="R22" s="95">
        <f t="shared" si="5"/>
        <v>3029.3</v>
      </c>
      <c r="S22" s="85"/>
      <c r="T22" s="85"/>
      <c r="U22" s="77"/>
    </row>
    <row r="23" spans="1:73" ht="18.75">
      <c r="A23" s="7" t="s">
        <v>71</v>
      </c>
      <c r="B23" s="89">
        <v>203</v>
      </c>
      <c r="C23" s="51">
        <v>787.9</v>
      </c>
      <c r="D23" s="51">
        <v>174.5</v>
      </c>
      <c r="E23" s="63">
        <v>360.2</v>
      </c>
      <c r="F23" s="63">
        <v>594.79999999999995</v>
      </c>
      <c r="G23" s="63">
        <v>64.400000000000006</v>
      </c>
      <c r="H23" s="64"/>
      <c r="I23" s="64"/>
      <c r="J23" s="108">
        <v>154</v>
      </c>
      <c r="K23" s="42">
        <v>25.3</v>
      </c>
      <c r="L23" s="6">
        <f>974.4+75.5</f>
        <v>1049.9000000000001</v>
      </c>
      <c r="M23" s="123">
        <f t="shared" si="6"/>
        <v>2852.3</v>
      </c>
      <c r="N23" s="125">
        <f t="shared" si="7"/>
        <v>358.7</v>
      </c>
      <c r="O23" s="39">
        <f t="shared" si="8"/>
        <v>14.051</v>
      </c>
      <c r="P23" s="93">
        <f t="shared" si="9"/>
        <v>0.68258440612096183</v>
      </c>
      <c r="Q23" s="92">
        <f t="shared" si="10"/>
        <v>3211</v>
      </c>
      <c r="R23" s="95">
        <f t="shared" si="5"/>
        <v>3211.0000000000005</v>
      </c>
      <c r="S23" s="85"/>
      <c r="T23" s="85"/>
      <c r="U23" s="77"/>
    </row>
    <row r="24" spans="1:73" ht="18.75">
      <c r="A24" s="7" t="s">
        <v>72</v>
      </c>
      <c r="B24" s="89">
        <v>188</v>
      </c>
      <c r="C24" s="51">
        <v>787.9</v>
      </c>
      <c r="D24" s="51">
        <v>174.5</v>
      </c>
      <c r="E24" s="63">
        <v>301.3</v>
      </c>
      <c r="F24" s="63">
        <v>474.1</v>
      </c>
      <c r="G24" s="63">
        <v>68.3</v>
      </c>
      <c r="H24" s="64"/>
      <c r="I24" s="64"/>
      <c r="J24" s="108">
        <v>154</v>
      </c>
      <c r="K24" s="42">
        <v>26.5</v>
      </c>
      <c r="L24" s="6">
        <f>961.7+74.5</f>
        <v>1036.2</v>
      </c>
      <c r="M24" s="123">
        <f t="shared" si="6"/>
        <v>2729.1</v>
      </c>
      <c r="N24" s="125">
        <f t="shared" si="7"/>
        <v>293.7</v>
      </c>
      <c r="O24" s="39">
        <f t="shared" si="8"/>
        <v>14.516</v>
      </c>
      <c r="P24" s="93">
        <f t="shared" si="9"/>
        <v>0.70517367014816612</v>
      </c>
      <c r="Q24" s="92">
        <f t="shared" si="10"/>
        <v>3022.7999999999997</v>
      </c>
      <c r="R24" s="95">
        <f t="shared" si="5"/>
        <v>3022.8</v>
      </c>
      <c r="S24" s="85"/>
      <c r="T24" s="85"/>
      <c r="U24" s="77"/>
    </row>
    <row r="25" spans="1:73" ht="18.75">
      <c r="A25" s="7" t="s">
        <v>73</v>
      </c>
      <c r="B25" s="89">
        <v>180</v>
      </c>
      <c r="C25" s="51">
        <v>741</v>
      </c>
      <c r="D25" s="51">
        <v>164.1</v>
      </c>
      <c r="E25" s="63">
        <v>347.1</v>
      </c>
      <c r="F25" s="63">
        <v>497.6</v>
      </c>
      <c r="G25" s="63">
        <v>61.2</v>
      </c>
      <c r="H25" s="64"/>
      <c r="I25" s="64"/>
      <c r="J25" s="108">
        <v>154</v>
      </c>
      <c r="K25" s="42">
        <v>38.1</v>
      </c>
      <c r="L25" s="6">
        <f>714.5+55.3</f>
        <v>769.8</v>
      </c>
      <c r="M25" s="123">
        <f t="shared" si="6"/>
        <v>2451.3000000000002</v>
      </c>
      <c r="N25" s="125">
        <f t="shared" si="7"/>
        <v>321.60000000000002</v>
      </c>
      <c r="O25" s="39">
        <f t="shared" si="8"/>
        <v>13.618</v>
      </c>
      <c r="P25" s="93">
        <f t="shared" si="9"/>
        <v>0.66154967209132864</v>
      </c>
      <c r="Q25" s="92">
        <f t="shared" si="10"/>
        <v>2772.9</v>
      </c>
      <c r="R25" s="95">
        <f t="shared" si="5"/>
        <v>2772.9</v>
      </c>
      <c r="S25" s="85"/>
      <c r="T25" s="85"/>
      <c r="U25" s="77"/>
    </row>
    <row r="26" spans="1:73" s="107" customFormat="1" ht="18.75">
      <c r="A26" s="120">
        <v>75</v>
      </c>
      <c r="B26" s="106">
        <v>93</v>
      </c>
      <c r="C26" s="52">
        <v>741</v>
      </c>
      <c r="D26" s="52">
        <v>164.1</v>
      </c>
      <c r="E26" s="65">
        <v>294.7</v>
      </c>
      <c r="F26" s="65">
        <v>510.9</v>
      </c>
      <c r="G26" s="65">
        <v>52.7</v>
      </c>
      <c r="H26" s="66"/>
      <c r="I26" s="66"/>
      <c r="J26" s="96">
        <v>154</v>
      </c>
      <c r="K26" s="42">
        <v>29.2</v>
      </c>
      <c r="L26" s="97">
        <f>516.3+39.9</f>
        <v>556.19999999999993</v>
      </c>
      <c r="M26" s="123">
        <f t="shared" si="6"/>
        <v>2188.6999999999998</v>
      </c>
      <c r="N26" s="125">
        <f t="shared" si="7"/>
        <v>314.10000000000002</v>
      </c>
      <c r="O26" s="39">
        <f t="shared" si="8"/>
        <v>23.533999999999999</v>
      </c>
      <c r="P26" s="93">
        <f t="shared" si="9"/>
        <v>1.1432596550886567</v>
      </c>
      <c r="Q26" s="92">
        <f t="shared" si="10"/>
        <v>2502.7999999999997</v>
      </c>
      <c r="R26" s="95">
        <f t="shared" si="5"/>
        <v>2502.7999999999997</v>
      </c>
      <c r="S26" s="85"/>
      <c r="T26" s="80"/>
      <c r="U26" s="77"/>
      <c r="V26" s="80"/>
      <c r="W26" s="80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</row>
    <row r="27" spans="1:73" s="107" customFormat="1" ht="18.75">
      <c r="A27" s="120">
        <v>80</v>
      </c>
      <c r="B27" s="106">
        <v>360</v>
      </c>
      <c r="C27" s="52">
        <v>1529</v>
      </c>
      <c r="D27" s="52">
        <v>338.5</v>
      </c>
      <c r="E27" s="65">
        <v>665.2</v>
      </c>
      <c r="F27" s="65">
        <v>1459.3</v>
      </c>
      <c r="G27" s="65">
        <v>112</v>
      </c>
      <c r="H27" s="66"/>
      <c r="I27" s="66"/>
      <c r="J27" s="90">
        <v>239</v>
      </c>
      <c r="K27" s="42">
        <v>30.7</v>
      </c>
      <c r="L27" s="107">
        <f>1708.9+132.3</f>
        <v>1841.2</v>
      </c>
      <c r="M27" s="123">
        <f t="shared" si="6"/>
        <v>5388</v>
      </c>
      <c r="N27" s="125">
        <f t="shared" si="7"/>
        <v>826.9</v>
      </c>
      <c r="O27" s="39">
        <f t="shared" si="8"/>
        <v>14.967000000000001</v>
      </c>
      <c r="P27" s="93">
        <f t="shared" si="9"/>
        <v>0.72708282730143303</v>
      </c>
      <c r="Q27" s="92">
        <f t="shared" si="10"/>
        <v>6214.9</v>
      </c>
      <c r="R27" s="95">
        <f t="shared" si="5"/>
        <v>6214.9</v>
      </c>
      <c r="S27" s="85"/>
      <c r="T27" s="80"/>
      <c r="U27" s="77"/>
      <c r="V27" s="80"/>
      <c r="W27" s="80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</row>
    <row r="28" spans="1:73" ht="18.75">
      <c r="A28" s="7" t="s">
        <v>74</v>
      </c>
      <c r="B28" s="89">
        <v>166</v>
      </c>
      <c r="C28" s="51">
        <v>741</v>
      </c>
      <c r="D28" s="51">
        <v>164.1</v>
      </c>
      <c r="E28" s="63">
        <v>397.1</v>
      </c>
      <c r="F28" s="63">
        <v>498.6</v>
      </c>
      <c r="G28" s="63">
        <v>50.5</v>
      </c>
      <c r="H28" s="64"/>
      <c r="I28" s="64"/>
      <c r="J28" s="108">
        <v>150</v>
      </c>
      <c r="K28" s="42">
        <v>27.3</v>
      </c>
      <c r="L28" s="6">
        <f>663.5+51.4</f>
        <v>714.9</v>
      </c>
      <c r="M28" s="123">
        <f t="shared" si="6"/>
        <v>2427.1999999999998</v>
      </c>
      <c r="N28" s="125">
        <f t="shared" si="7"/>
        <v>316.3</v>
      </c>
      <c r="O28" s="39">
        <f t="shared" si="8"/>
        <v>14.622</v>
      </c>
      <c r="P28" s="93">
        <f t="shared" si="9"/>
        <v>0.71032305076512015</v>
      </c>
      <c r="Q28" s="92">
        <f t="shared" si="10"/>
        <v>2743.5</v>
      </c>
      <c r="R28" s="95">
        <f t="shared" si="5"/>
        <v>2743.5</v>
      </c>
      <c r="S28" s="85"/>
      <c r="U28" s="77"/>
    </row>
    <row r="29" spans="1:73" s="107" customFormat="1" ht="18.75">
      <c r="A29" s="120">
        <v>85</v>
      </c>
      <c r="B29" s="106">
        <v>87</v>
      </c>
      <c r="C29" s="52">
        <v>741</v>
      </c>
      <c r="D29" s="52">
        <v>164.1</v>
      </c>
      <c r="E29" s="65">
        <v>275.10000000000002</v>
      </c>
      <c r="F29" s="65">
        <v>515.1</v>
      </c>
      <c r="G29" s="65">
        <v>41.5</v>
      </c>
      <c r="H29" s="66"/>
      <c r="I29" s="66"/>
      <c r="J29" s="96">
        <v>154</v>
      </c>
      <c r="K29" s="42">
        <v>33.299999999999997</v>
      </c>
      <c r="L29" s="97">
        <f>667.2+51.6</f>
        <v>718.80000000000007</v>
      </c>
      <c r="M29" s="123">
        <f t="shared" si="6"/>
        <v>2324.5</v>
      </c>
      <c r="N29" s="125">
        <f t="shared" si="7"/>
        <v>318.39999999999998</v>
      </c>
      <c r="O29" s="39">
        <f t="shared" si="8"/>
        <v>26.718</v>
      </c>
      <c r="P29" s="93">
        <f t="shared" si="9"/>
        <v>1.2979353898469759</v>
      </c>
      <c r="Q29" s="92">
        <f t="shared" si="10"/>
        <v>2642.9</v>
      </c>
      <c r="R29" s="95">
        <f t="shared" ref="R29:R92" si="11">SUM(C29:L29)</f>
        <v>2642.9</v>
      </c>
      <c r="S29" s="85"/>
      <c r="T29" s="80"/>
      <c r="U29" s="77"/>
      <c r="V29" s="80"/>
      <c r="W29" s="80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</row>
    <row r="30" spans="1:73" s="107" customFormat="1" ht="18.75">
      <c r="A30" s="120">
        <v>104</v>
      </c>
      <c r="B30" s="106">
        <v>270</v>
      </c>
      <c r="C30" s="52">
        <v>1022.4</v>
      </c>
      <c r="D30" s="52">
        <v>226.4</v>
      </c>
      <c r="E30" s="65">
        <v>445.3</v>
      </c>
      <c r="F30" s="65">
        <f>904.3+116.1</f>
        <v>1020.4</v>
      </c>
      <c r="G30" s="65">
        <v>126.9</v>
      </c>
      <c r="H30" s="66"/>
      <c r="I30" s="66"/>
      <c r="J30" s="96">
        <v>177</v>
      </c>
      <c r="K30" s="42">
        <v>56.7</v>
      </c>
      <c r="L30" s="97">
        <f>1243.5+96.3</f>
        <v>1339.8</v>
      </c>
      <c r="M30" s="123">
        <f t="shared" si="6"/>
        <v>3803.5</v>
      </c>
      <c r="N30" s="125">
        <f t="shared" si="7"/>
        <v>611.4</v>
      </c>
      <c r="O30" s="39">
        <f t="shared" si="8"/>
        <v>14.087</v>
      </c>
      <c r="P30" s="93">
        <f t="shared" si="9"/>
        <v>0.68433325236822928</v>
      </c>
      <c r="Q30" s="92">
        <f t="shared" si="10"/>
        <v>4414.8999999999996</v>
      </c>
      <c r="R30" s="95">
        <f t="shared" si="11"/>
        <v>4414.8999999999996</v>
      </c>
      <c r="S30" s="85"/>
      <c r="T30" s="80"/>
      <c r="U30" s="77"/>
      <c r="V30" s="80"/>
      <c r="W30" s="80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</row>
    <row r="31" spans="1:73" s="107" customFormat="1" ht="18.75">
      <c r="A31" s="120">
        <v>106</v>
      </c>
      <c r="B31" s="106">
        <v>66</v>
      </c>
      <c r="C31" s="52">
        <v>694.1</v>
      </c>
      <c r="D31" s="52">
        <v>153.69999999999999</v>
      </c>
      <c r="E31" s="65">
        <v>219.4</v>
      </c>
      <c r="F31" s="65">
        <v>370.9</v>
      </c>
      <c r="G31" s="65">
        <v>38.1</v>
      </c>
      <c r="H31" s="66"/>
      <c r="I31" s="66"/>
      <c r="J31" s="96">
        <v>130</v>
      </c>
      <c r="K31" s="42">
        <v>18.899999999999999</v>
      </c>
      <c r="L31" s="97">
        <f>354.5+27.5</f>
        <v>382</v>
      </c>
      <c r="M31" s="123">
        <f t="shared" si="6"/>
        <v>1780.8</v>
      </c>
      <c r="N31" s="125">
        <f t="shared" si="7"/>
        <v>226.3</v>
      </c>
      <c r="O31" s="39">
        <f t="shared" si="8"/>
        <v>26.981999999999999</v>
      </c>
      <c r="P31" s="93">
        <f t="shared" si="9"/>
        <v>1.310760262326937</v>
      </c>
      <c r="Q31" s="92">
        <f t="shared" si="10"/>
        <v>2007.1</v>
      </c>
      <c r="R31" s="95">
        <f t="shared" si="11"/>
        <v>2007.1</v>
      </c>
      <c r="S31" s="85"/>
      <c r="T31" s="80"/>
      <c r="U31" s="77"/>
      <c r="V31" s="80"/>
      <c r="W31" s="80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</row>
    <row r="32" spans="1:73" ht="18.75">
      <c r="A32" s="7" t="s">
        <v>75</v>
      </c>
      <c r="B32" s="89">
        <v>308</v>
      </c>
      <c r="C32" s="51">
        <v>1482.1</v>
      </c>
      <c r="D32" s="51">
        <v>328.2</v>
      </c>
      <c r="E32" s="63">
        <v>537.1</v>
      </c>
      <c r="F32" s="63">
        <v>1313.8</v>
      </c>
      <c r="G32" s="63">
        <v>120.4</v>
      </c>
      <c r="H32" s="64"/>
      <c r="I32" s="64"/>
      <c r="J32" s="108">
        <v>217</v>
      </c>
      <c r="K32" s="42">
        <v>68.5</v>
      </c>
      <c r="L32" s="6">
        <f>1368.9+106</f>
        <v>1474.9</v>
      </c>
      <c r="M32" s="123">
        <f t="shared" si="6"/>
        <v>4762.8999999999996</v>
      </c>
      <c r="N32" s="125">
        <f t="shared" si="7"/>
        <v>779.1</v>
      </c>
      <c r="O32" s="39">
        <f t="shared" si="8"/>
        <v>15.464</v>
      </c>
      <c r="P32" s="93">
        <f t="shared" si="9"/>
        <v>0.75122662132620843</v>
      </c>
      <c r="Q32" s="92">
        <f t="shared" si="10"/>
        <v>5542</v>
      </c>
      <c r="R32" s="95">
        <f t="shared" si="11"/>
        <v>5542</v>
      </c>
      <c r="S32" s="85"/>
      <c r="U32" s="77"/>
    </row>
    <row r="33" spans="1:73" ht="18.75">
      <c r="A33" s="7" t="s">
        <v>76</v>
      </c>
      <c r="B33" s="89">
        <v>176</v>
      </c>
      <c r="C33" s="51">
        <v>741</v>
      </c>
      <c r="D33" s="51">
        <v>164.1</v>
      </c>
      <c r="E33" s="63">
        <v>314.3</v>
      </c>
      <c r="F33" s="63">
        <v>665.7</v>
      </c>
      <c r="G33" s="63">
        <v>131.69999999999999</v>
      </c>
      <c r="H33" s="64"/>
      <c r="I33" s="64"/>
      <c r="J33" s="108">
        <v>154</v>
      </c>
      <c r="K33" s="42">
        <v>23.5</v>
      </c>
      <c r="L33" s="6">
        <f>765.3+59.2</f>
        <v>824.5</v>
      </c>
      <c r="M33" s="123">
        <f t="shared" si="6"/>
        <v>2631</v>
      </c>
      <c r="N33" s="125">
        <f t="shared" si="7"/>
        <v>387.8</v>
      </c>
      <c r="O33" s="39">
        <f t="shared" si="8"/>
        <v>14.949</v>
      </c>
      <c r="P33" s="93">
        <f t="shared" si="9"/>
        <v>0.7262084041777993</v>
      </c>
      <c r="Q33" s="92">
        <f t="shared" si="10"/>
        <v>3018.8</v>
      </c>
      <c r="R33" s="95">
        <f t="shared" si="11"/>
        <v>3018.8</v>
      </c>
      <c r="S33" s="85"/>
      <c r="U33" s="77"/>
    </row>
    <row r="34" spans="1:73" s="107" customFormat="1" ht="18.75">
      <c r="A34" s="120">
        <v>123</v>
      </c>
      <c r="B34" s="106">
        <v>181</v>
      </c>
      <c r="C34" s="52">
        <v>787.9</v>
      </c>
      <c r="D34" s="52">
        <v>174.5</v>
      </c>
      <c r="E34" s="65">
        <v>399.5</v>
      </c>
      <c r="F34" s="65">
        <v>600.1</v>
      </c>
      <c r="G34" s="65">
        <v>68.900000000000006</v>
      </c>
      <c r="H34" s="66"/>
      <c r="I34" s="66"/>
      <c r="J34" s="96">
        <v>154</v>
      </c>
      <c r="K34" s="42">
        <v>24.8</v>
      </c>
      <c r="L34" s="97">
        <f>736.3+57</f>
        <v>793.3</v>
      </c>
      <c r="M34" s="123">
        <f t="shared" si="6"/>
        <v>2638.2</v>
      </c>
      <c r="N34" s="125">
        <f t="shared" si="7"/>
        <v>364.8</v>
      </c>
      <c r="O34" s="39">
        <f t="shared" si="8"/>
        <v>14.576000000000001</v>
      </c>
      <c r="P34" s="93">
        <f t="shared" si="9"/>
        <v>0.70808841389361188</v>
      </c>
      <c r="Q34" s="92">
        <f t="shared" si="10"/>
        <v>3003</v>
      </c>
      <c r="R34" s="95">
        <f t="shared" si="11"/>
        <v>3003</v>
      </c>
      <c r="S34" s="85"/>
      <c r="T34" s="80"/>
      <c r="U34" s="77"/>
      <c r="V34" s="80"/>
      <c r="W34" s="80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</row>
    <row r="35" spans="1:73" ht="18.75">
      <c r="A35" s="7" t="s">
        <v>77</v>
      </c>
      <c r="B35" s="89">
        <v>215</v>
      </c>
      <c r="C35" s="51">
        <v>787.9</v>
      </c>
      <c r="D35" s="51">
        <v>174.5</v>
      </c>
      <c r="E35" s="63">
        <v>311.10000000000002</v>
      </c>
      <c r="F35" s="63">
        <v>790.8</v>
      </c>
      <c r="G35" s="63">
        <v>49.1</v>
      </c>
      <c r="H35" s="64"/>
      <c r="I35" s="64"/>
      <c r="J35" s="108">
        <v>154</v>
      </c>
      <c r="K35" s="42">
        <v>34.9</v>
      </c>
      <c r="L35" s="6">
        <f>885.3+68.5</f>
        <v>953.8</v>
      </c>
      <c r="M35" s="123">
        <f t="shared" si="6"/>
        <v>2794.7</v>
      </c>
      <c r="N35" s="125">
        <f t="shared" si="7"/>
        <v>461.4</v>
      </c>
      <c r="O35" s="39">
        <f t="shared" si="8"/>
        <v>12.999000000000001</v>
      </c>
      <c r="P35" s="93">
        <f t="shared" si="9"/>
        <v>0.63147923245081372</v>
      </c>
      <c r="Q35" s="92">
        <f t="shared" si="10"/>
        <v>3256.1</v>
      </c>
      <c r="R35" s="95">
        <f t="shared" si="11"/>
        <v>3256.1000000000004</v>
      </c>
      <c r="S35" s="85"/>
      <c r="U35" s="77"/>
    </row>
    <row r="36" spans="1:73" ht="18.75">
      <c r="A36" s="7" t="s">
        <v>78</v>
      </c>
      <c r="B36" s="89">
        <v>177</v>
      </c>
      <c r="C36" s="51">
        <v>787.9</v>
      </c>
      <c r="D36" s="51">
        <v>174.5</v>
      </c>
      <c r="E36" s="63">
        <v>360.2</v>
      </c>
      <c r="F36" s="63">
        <v>657.9</v>
      </c>
      <c r="G36" s="63">
        <v>97.2</v>
      </c>
      <c r="H36" s="64"/>
      <c r="I36" s="64"/>
      <c r="J36" s="108">
        <v>154</v>
      </c>
      <c r="K36" s="42">
        <v>30.7</v>
      </c>
      <c r="L36" s="6">
        <f>703.5+54.5</f>
        <v>758</v>
      </c>
      <c r="M36" s="123">
        <f t="shared" si="6"/>
        <v>2624.7</v>
      </c>
      <c r="N36" s="125">
        <f t="shared" si="7"/>
        <v>395.7</v>
      </c>
      <c r="O36" s="39">
        <f t="shared" si="8"/>
        <v>14.829000000000001</v>
      </c>
      <c r="P36" s="93">
        <f t="shared" si="9"/>
        <v>0.7203789166869079</v>
      </c>
      <c r="Q36" s="92">
        <f t="shared" si="10"/>
        <v>3020.3999999999996</v>
      </c>
      <c r="R36" s="95">
        <f t="shared" si="11"/>
        <v>3020.3999999999996</v>
      </c>
      <c r="S36" s="85"/>
      <c r="U36" s="77"/>
    </row>
    <row r="37" spans="1:73" ht="18.75">
      <c r="A37" s="7" t="s">
        <v>79</v>
      </c>
      <c r="B37" s="89">
        <v>179</v>
      </c>
      <c r="C37" s="51">
        <v>741</v>
      </c>
      <c r="D37" s="51">
        <v>164.1</v>
      </c>
      <c r="E37" s="63">
        <v>394.6</v>
      </c>
      <c r="F37" s="63">
        <v>650.9</v>
      </c>
      <c r="G37" s="63">
        <v>80.099999999999994</v>
      </c>
      <c r="H37" s="64"/>
      <c r="I37" s="64"/>
      <c r="J37" s="108">
        <v>154</v>
      </c>
      <c r="K37" s="42">
        <v>69</v>
      </c>
      <c r="L37" s="6">
        <f>839.9+65</f>
        <v>904.9</v>
      </c>
      <c r="M37" s="123">
        <f t="shared" si="6"/>
        <v>2724.7</v>
      </c>
      <c r="N37" s="125">
        <f t="shared" si="7"/>
        <v>433.9</v>
      </c>
      <c r="O37" s="39">
        <f t="shared" si="8"/>
        <v>15.222</v>
      </c>
      <c r="P37" s="93">
        <f t="shared" si="9"/>
        <v>0.73947048821957728</v>
      </c>
      <c r="Q37" s="92">
        <f t="shared" si="10"/>
        <v>3158.6</v>
      </c>
      <c r="R37" s="95">
        <f t="shared" si="11"/>
        <v>3158.6</v>
      </c>
      <c r="S37" s="85"/>
      <c r="U37" s="77"/>
    </row>
    <row r="38" spans="1:73" s="107" customFormat="1" ht="18.75">
      <c r="A38" s="120">
        <v>139</v>
      </c>
      <c r="B38" s="106">
        <v>92</v>
      </c>
      <c r="C38" s="52">
        <v>741</v>
      </c>
      <c r="D38" s="52">
        <v>164.1</v>
      </c>
      <c r="E38" s="65">
        <v>340.6</v>
      </c>
      <c r="F38" s="65">
        <v>519.70000000000005</v>
      </c>
      <c r="G38" s="65">
        <v>48</v>
      </c>
      <c r="H38" s="66"/>
      <c r="I38" s="66"/>
      <c r="J38" s="96">
        <v>154</v>
      </c>
      <c r="K38" s="42">
        <v>31.3</v>
      </c>
      <c r="L38" s="97">
        <f>527.2+40.8</f>
        <v>568</v>
      </c>
      <c r="M38" s="123">
        <f t="shared" si="6"/>
        <v>2241.5</v>
      </c>
      <c r="N38" s="125">
        <f t="shared" si="7"/>
        <v>325.2</v>
      </c>
      <c r="O38" s="39">
        <f t="shared" si="8"/>
        <v>24.364000000000001</v>
      </c>
      <c r="P38" s="93">
        <f t="shared" si="9"/>
        <v>1.1835802769006558</v>
      </c>
      <c r="Q38" s="92">
        <f t="shared" si="10"/>
        <v>2566.6999999999998</v>
      </c>
      <c r="R38" s="95">
        <f t="shared" si="11"/>
        <v>2566.6999999999998</v>
      </c>
      <c r="S38" s="85"/>
      <c r="T38" s="80"/>
      <c r="U38" s="77"/>
      <c r="V38" s="80"/>
      <c r="W38" s="80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</row>
    <row r="39" spans="1:73" ht="18.75">
      <c r="A39" s="7" t="s">
        <v>80</v>
      </c>
      <c r="B39" s="89">
        <v>212</v>
      </c>
      <c r="C39" s="51">
        <v>881.7</v>
      </c>
      <c r="D39" s="51">
        <v>195.2</v>
      </c>
      <c r="E39" s="63">
        <v>585.70000000000005</v>
      </c>
      <c r="F39" s="63">
        <v>829.3</v>
      </c>
      <c r="G39" s="63">
        <v>93.6</v>
      </c>
      <c r="H39" s="64"/>
      <c r="I39" s="64"/>
      <c r="J39" s="108">
        <v>154</v>
      </c>
      <c r="K39" s="42">
        <v>32.799999999999997</v>
      </c>
      <c r="L39" s="6">
        <f>816.2+63.2</f>
        <v>879.40000000000009</v>
      </c>
      <c r="M39" s="123">
        <f t="shared" si="6"/>
        <v>3145.7</v>
      </c>
      <c r="N39" s="125">
        <f t="shared" si="7"/>
        <v>506</v>
      </c>
      <c r="O39" s="39">
        <f t="shared" si="8"/>
        <v>14.837999999999999</v>
      </c>
      <c r="P39" s="93">
        <f t="shared" si="9"/>
        <v>0.72081612824872476</v>
      </c>
      <c r="Q39" s="92">
        <f t="shared" si="10"/>
        <v>3651.7</v>
      </c>
      <c r="R39" s="95">
        <f t="shared" si="11"/>
        <v>3651.7000000000003</v>
      </c>
      <c r="S39" s="85"/>
      <c r="U39" s="77"/>
    </row>
    <row r="40" spans="1:73" ht="18.75">
      <c r="A40" s="7" t="s">
        <v>81</v>
      </c>
      <c r="B40" s="89">
        <v>179</v>
      </c>
      <c r="C40" s="51">
        <v>741</v>
      </c>
      <c r="D40" s="51">
        <v>164.1</v>
      </c>
      <c r="E40" s="63">
        <v>340.6</v>
      </c>
      <c r="F40" s="63">
        <v>741.9</v>
      </c>
      <c r="G40" s="63">
        <v>83.4</v>
      </c>
      <c r="H40" s="64"/>
      <c r="I40" s="64"/>
      <c r="J40" s="108">
        <v>154</v>
      </c>
      <c r="K40" s="42">
        <v>40</v>
      </c>
      <c r="L40" s="6">
        <f>874.4+67.8</f>
        <v>942.19999999999993</v>
      </c>
      <c r="M40" s="123">
        <f t="shared" si="6"/>
        <v>2762.2</v>
      </c>
      <c r="N40" s="125">
        <f t="shared" si="7"/>
        <v>445</v>
      </c>
      <c r="O40" s="39">
        <f t="shared" si="8"/>
        <v>15.430999999999999</v>
      </c>
      <c r="P40" s="93">
        <f t="shared" si="9"/>
        <v>0.74962351226621315</v>
      </c>
      <c r="Q40" s="92">
        <f t="shared" si="10"/>
        <v>3207.2</v>
      </c>
      <c r="R40" s="95">
        <f t="shared" si="11"/>
        <v>3207.2</v>
      </c>
      <c r="S40" s="85"/>
      <c r="U40" s="77"/>
    </row>
    <row r="41" spans="1:73" ht="18.75">
      <c r="A41" s="7" t="s">
        <v>82</v>
      </c>
      <c r="B41" s="89">
        <v>195</v>
      </c>
      <c r="C41" s="51">
        <v>787.9</v>
      </c>
      <c r="D41" s="51">
        <v>174.5</v>
      </c>
      <c r="E41" s="63">
        <v>281.60000000000002</v>
      </c>
      <c r="F41" s="63">
        <v>627.5</v>
      </c>
      <c r="G41" s="63">
        <v>80.400000000000006</v>
      </c>
      <c r="H41" s="64"/>
      <c r="I41" s="64"/>
      <c r="J41" s="108">
        <v>154</v>
      </c>
      <c r="K41" s="42">
        <v>37.799999999999997</v>
      </c>
      <c r="L41" s="6">
        <f>834.4+64.7</f>
        <v>899.1</v>
      </c>
      <c r="M41" s="123">
        <f t="shared" si="6"/>
        <v>2663.1</v>
      </c>
      <c r="N41" s="125">
        <f t="shared" si="7"/>
        <v>379.7</v>
      </c>
      <c r="O41" s="39">
        <f t="shared" si="8"/>
        <v>13.657</v>
      </c>
      <c r="P41" s="93">
        <f t="shared" si="9"/>
        <v>0.66344425552586828</v>
      </c>
      <c r="Q41" s="92">
        <f t="shared" si="10"/>
        <v>3042.7999999999997</v>
      </c>
      <c r="R41" s="95">
        <f t="shared" si="11"/>
        <v>3042.8</v>
      </c>
      <c r="S41" s="85"/>
      <c r="U41" s="77"/>
    </row>
    <row r="42" spans="1:73" s="107" customFormat="1" ht="18.75">
      <c r="A42" s="120">
        <v>153</v>
      </c>
      <c r="B42" s="106">
        <v>177</v>
      </c>
      <c r="C42" s="52">
        <v>834.8</v>
      </c>
      <c r="D42" s="52">
        <v>184.8</v>
      </c>
      <c r="E42" s="65">
        <v>358.4</v>
      </c>
      <c r="F42" s="65">
        <v>581.6</v>
      </c>
      <c r="G42" s="65">
        <v>89</v>
      </c>
      <c r="H42" s="66"/>
      <c r="I42" s="66"/>
      <c r="J42" s="96">
        <v>154</v>
      </c>
      <c r="K42" s="42">
        <v>38.200000000000003</v>
      </c>
      <c r="L42" s="97">
        <f>827.1+64</f>
        <v>891.1</v>
      </c>
      <c r="M42" s="123">
        <f t="shared" si="6"/>
        <v>2767.1</v>
      </c>
      <c r="N42" s="125">
        <f t="shared" si="7"/>
        <v>364.8</v>
      </c>
      <c r="O42" s="39">
        <f t="shared" si="8"/>
        <v>15.632999999999999</v>
      </c>
      <c r="P42" s="93">
        <f t="shared" si="9"/>
        <v>0.75943648287588039</v>
      </c>
      <c r="Q42" s="92">
        <f t="shared" si="10"/>
        <v>3131.9</v>
      </c>
      <c r="R42" s="95">
        <f t="shared" si="11"/>
        <v>3131.8999999999996</v>
      </c>
      <c r="S42" s="85"/>
      <c r="T42" s="80"/>
      <c r="U42" s="77"/>
      <c r="V42" s="80"/>
      <c r="W42" s="80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</row>
    <row r="43" spans="1:73" ht="18.75">
      <c r="A43" s="7" t="s">
        <v>83</v>
      </c>
      <c r="B43" s="89">
        <v>195</v>
      </c>
      <c r="C43" s="51">
        <v>811.4</v>
      </c>
      <c r="D43" s="51">
        <v>179.7</v>
      </c>
      <c r="E43" s="63">
        <v>375</v>
      </c>
      <c r="F43" s="63">
        <v>598.4</v>
      </c>
      <c r="G43" s="63">
        <v>71.8</v>
      </c>
      <c r="H43" s="64"/>
      <c r="I43" s="64"/>
      <c r="J43" s="108">
        <v>154</v>
      </c>
      <c r="K43" s="42">
        <v>38.4</v>
      </c>
      <c r="L43" s="6">
        <f>776.3+60.1</f>
        <v>836.4</v>
      </c>
      <c r="M43" s="123">
        <f t="shared" si="6"/>
        <v>2690</v>
      </c>
      <c r="N43" s="125">
        <f t="shared" si="7"/>
        <v>375.1</v>
      </c>
      <c r="O43" s="39">
        <f t="shared" si="8"/>
        <v>13.795</v>
      </c>
      <c r="P43" s="93">
        <f t="shared" si="9"/>
        <v>0.67014816614039341</v>
      </c>
      <c r="Q43" s="92">
        <f t="shared" si="10"/>
        <v>3065.1</v>
      </c>
      <c r="R43" s="95">
        <f t="shared" si="11"/>
        <v>3065.1000000000004</v>
      </c>
      <c r="S43" s="85"/>
      <c r="U43" s="77"/>
    </row>
    <row r="44" spans="1:73" ht="18.75">
      <c r="A44" s="7" t="s">
        <v>84</v>
      </c>
      <c r="B44" s="89">
        <v>179</v>
      </c>
      <c r="C44" s="51">
        <v>741</v>
      </c>
      <c r="D44" s="51">
        <v>164.1</v>
      </c>
      <c r="E44" s="63">
        <v>360.2</v>
      </c>
      <c r="F44" s="63">
        <f>716.3+94.8</f>
        <v>811.09999999999991</v>
      </c>
      <c r="G44" s="63">
        <v>90</v>
      </c>
      <c r="H44" s="64"/>
      <c r="I44" s="64"/>
      <c r="J44" s="108">
        <v>154</v>
      </c>
      <c r="K44" s="42">
        <v>41.6</v>
      </c>
      <c r="L44" s="6">
        <f>836.3+64.7</f>
        <v>901</v>
      </c>
      <c r="M44" s="123">
        <f t="shared" si="6"/>
        <v>2779.8</v>
      </c>
      <c r="N44" s="125">
        <f t="shared" si="7"/>
        <v>483.2</v>
      </c>
      <c r="O44" s="39">
        <f t="shared" si="8"/>
        <v>15.53</v>
      </c>
      <c r="P44" s="93">
        <f t="shared" si="9"/>
        <v>0.75443283944619866</v>
      </c>
      <c r="Q44" s="92">
        <f t="shared" si="10"/>
        <v>3263</v>
      </c>
      <c r="R44" s="95">
        <f t="shared" si="11"/>
        <v>3262.9999999999995</v>
      </c>
      <c r="S44" s="85"/>
      <c r="U44" s="77"/>
    </row>
    <row r="45" spans="1:73" s="107" customFormat="1" ht="18.75">
      <c r="A45" s="120">
        <v>167</v>
      </c>
      <c r="B45" s="106">
        <v>179</v>
      </c>
      <c r="C45" s="52">
        <v>811.4</v>
      </c>
      <c r="D45" s="52">
        <v>179.7</v>
      </c>
      <c r="E45" s="65">
        <v>385.4</v>
      </c>
      <c r="F45" s="65">
        <f>641+82.7</f>
        <v>723.7</v>
      </c>
      <c r="G45" s="65">
        <v>79.7</v>
      </c>
      <c r="H45" s="66"/>
      <c r="I45" s="66"/>
      <c r="J45" s="96">
        <v>154</v>
      </c>
      <c r="K45" s="42">
        <v>35.9</v>
      </c>
      <c r="L45" s="97">
        <f>732.6+56.7</f>
        <v>789.30000000000007</v>
      </c>
      <c r="M45" s="123">
        <f t="shared" si="6"/>
        <v>2722.8</v>
      </c>
      <c r="N45" s="125">
        <f t="shared" si="7"/>
        <v>436.3</v>
      </c>
      <c r="O45" s="39">
        <f t="shared" si="8"/>
        <v>15.211</v>
      </c>
      <c r="P45" s="93">
        <f t="shared" si="9"/>
        <v>0.7389361185329123</v>
      </c>
      <c r="Q45" s="92">
        <f t="shared" si="10"/>
        <v>3159.1000000000004</v>
      </c>
      <c r="R45" s="95">
        <f t="shared" si="11"/>
        <v>3159.1</v>
      </c>
      <c r="S45" s="85"/>
      <c r="T45" s="80"/>
      <c r="U45" s="77"/>
      <c r="V45" s="80"/>
      <c r="W45" s="80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</row>
    <row r="46" spans="1:73" ht="18.75">
      <c r="A46" s="7" t="s">
        <v>85</v>
      </c>
      <c r="B46" s="89">
        <v>230</v>
      </c>
      <c r="C46" s="51">
        <v>811.4</v>
      </c>
      <c r="D46" s="51">
        <v>179.7</v>
      </c>
      <c r="E46" s="63">
        <v>353.6</v>
      </c>
      <c r="F46" s="63">
        <f>593.2+71.5</f>
        <v>664.7</v>
      </c>
      <c r="G46" s="63">
        <v>130.69999999999999</v>
      </c>
      <c r="H46" s="64"/>
      <c r="I46" s="64"/>
      <c r="J46" s="108">
        <v>154</v>
      </c>
      <c r="K46" s="42">
        <v>92.5</v>
      </c>
      <c r="L46" s="6">
        <f>1034.4+80.1</f>
        <v>1114.5</v>
      </c>
      <c r="M46" s="123">
        <f t="shared" si="6"/>
        <v>3040.9</v>
      </c>
      <c r="N46" s="125">
        <f t="shared" si="7"/>
        <v>460.2</v>
      </c>
      <c r="O46" s="39">
        <f t="shared" si="8"/>
        <v>13.221</v>
      </c>
      <c r="P46" s="93">
        <f t="shared" si="9"/>
        <v>0.6422637843089628</v>
      </c>
      <c r="Q46" s="92">
        <f t="shared" si="10"/>
        <v>3501.1</v>
      </c>
      <c r="R46" s="95">
        <f t="shared" si="11"/>
        <v>3501.1</v>
      </c>
      <c r="S46" s="85"/>
      <c r="U46" s="77"/>
    </row>
    <row r="47" spans="1:73" ht="18.75">
      <c r="A47" s="7" t="s">
        <v>86</v>
      </c>
      <c r="B47" s="89">
        <v>211</v>
      </c>
      <c r="C47" s="51">
        <v>881.7</v>
      </c>
      <c r="D47" s="51">
        <v>195.2</v>
      </c>
      <c r="E47" s="63">
        <v>412.6</v>
      </c>
      <c r="F47" s="63">
        <f>632+79.8</f>
        <v>711.8</v>
      </c>
      <c r="G47" s="63">
        <v>90.1</v>
      </c>
      <c r="H47" s="64"/>
      <c r="I47" s="64"/>
      <c r="J47" s="108">
        <v>154</v>
      </c>
      <c r="K47" s="42">
        <v>39.1</v>
      </c>
      <c r="L47" s="6">
        <f>988.9+76.6</f>
        <v>1065.5</v>
      </c>
      <c r="M47" s="123">
        <f t="shared" si="6"/>
        <v>3113.7</v>
      </c>
      <c r="N47" s="125">
        <f t="shared" si="7"/>
        <v>436.3</v>
      </c>
      <c r="O47" s="39">
        <f t="shared" si="8"/>
        <v>14.757</v>
      </c>
      <c r="P47" s="93">
        <f t="shared" si="9"/>
        <v>0.71688122419237299</v>
      </c>
      <c r="Q47" s="92">
        <f t="shared" si="10"/>
        <v>3550</v>
      </c>
      <c r="R47" s="95">
        <f t="shared" si="11"/>
        <v>3550</v>
      </c>
      <c r="S47" s="85"/>
      <c r="U47" s="77"/>
    </row>
    <row r="48" spans="1:73" ht="18.75">
      <c r="A48" s="7" t="s">
        <v>87</v>
      </c>
      <c r="B48" s="89">
        <v>169</v>
      </c>
      <c r="C48" s="51">
        <v>741</v>
      </c>
      <c r="D48" s="51">
        <v>164.1</v>
      </c>
      <c r="E48" s="63">
        <v>360.2</v>
      </c>
      <c r="F48" s="63">
        <f>641.8+82.8</f>
        <v>724.59999999999991</v>
      </c>
      <c r="G48" s="63">
        <v>146.9</v>
      </c>
      <c r="H48" s="64"/>
      <c r="I48" s="64"/>
      <c r="J48" s="108">
        <v>154</v>
      </c>
      <c r="K48" s="42">
        <v>0</v>
      </c>
      <c r="L48" s="6">
        <f>690.9+53.5</f>
        <v>744.4</v>
      </c>
      <c r="M48" s="123">
        <f t="shared" si="6"/>
        <v>2636.9</v>
      </c>
      <c r="N48" s="125">
        <f t="shared" si="7"/>
        <v>398.3</v>
      </c>
      <c r="O48" s="39">
        <f t="shared" si="8"/>
        <v>15.603</v>
      </c>
      <c r="P48" s="93">
        <f t="shared" si="9"/>
        <v>0.75797911100315762</v>
      </c>
      <c r="Q48" s="92">
        <f t="shared" si="10"/>
        <v>3035.2000000000003</v>
      </c>
      <c r="R48" s="95">
        <f t="shared" si="11"/>
        <v>3035.2</v>
      </c>
      <c r="S48" s="85"/>
      <c r="U48" s="77"/>
    </row>
    <row r="49" spans="1:73" ht="18.75">
      <c r="A49" s="7" t="s">
        <v>88</v>
      </c>
      <c r="B49" s="89">
        <v>198</v>
      </c>
      <c r="C49" s="51">
        <v>811.4</v>
      </c>
      <c r="D49" s="51">
        <v>179.7</v>
      </c>
      <c r="E49" s="63">
        <v>386.4</v>
      </c>
      <c r="F49" s="63">
        <f>709.2+92.8</f>
        <v>802</v>
      </c>
      <c r="G49" s="63">
        <v>110.8</v>
      </c>
      <c r="H49" s="64"/>
      <c r="I49" s="64"/>
      <c r="J49" s="108">
        <v>154</v>
      </c>
      <c r="K49" s="42">
        <v>39.4</v>
      </c>
      <c r="L49" s="6">
        <f>887.1+68.7</f>
        <v>955.80000000000007</v>
      </c>
      <c r="M49" s="123">
        <f t="shared" ref="M49:M80" si="12">ROUND(C49+D49+H49+J49+L49+(F49/2)+G49+(E49*0.9),1)</f>
        <v>2960.5</v>
      </c>
      <c r="N49" s="125">
        <f t="shared" si="7"/>
        <v>479</v>
      </c>
      <c r="O49" s="39">
        <f t="shared" si="8"/>
        <v>14.952</v>
      </c>
      <c r="P49" s="93">
        <f t="shared" si="9"/>
        <v>0.72635414136507159</v>
      </c>
      <c r="Q49" s="92">
        <f t="shared" si="10"/>
        <v>3439.5</v>
      </c>
      <c r="R49" s="95">
        <f t="shared" si="11"/>
        <v>3439.5000000000005</v>
      </c>
      <c r="S49" s="85"/>
      <c r="U49" s="77"/>
    </row>
    <row r="50" spans="1:73" s="107" customFormat="1" ht="18.75">
      <c r="A50" s="120">
        <v>185</v>
      </c>
      <c r="B50" s="106">
        <v>156</v>
      </c>
      <c r="C50" s="52">
        <v>741</v>
      </c>
      <c r="D50" s="52">
        <v>164.1</v>
      </c>
      <c r="E50" s="65">
        <v>243.6</v>
      </c>
      <c r="F50" s="65">
        <v>668.4</v>
      </c>
      <c r="G50" s="65">
        <v>75.3</v>
      </c>
      <c r="H50" s="66"/>
      <c r="I50" s="66"/>
      <c r="J50" s="96">
        <v>154</v>
      </c>
      <c r="K50" s="42">
        <v>33.9</v>
      </c>
      <c r="L50" s="97">
        <f>2370.6+183.5</f>
        <v>2554.1</v>
      </c>
      <c r="M50" s="123">
        <f t="shared" si="12"/>
        <v>4241.8999999999996</v>
      </c>
      <c r="N50" s="125">
        <f t="shared" si="7"/>
        <v>392.5</v>
      </c>
      <c r="O50" s="39">
        <f t="shared" si="8"/>
        <v>27.192</v>
      </c>
      <c r="P50" s="93">
        <f t="shared" si="9"/>
        <v>1.3209618654359971</v>
      </c>
      <c r="Q50" s="92">
        <f t="shared" si="10"/>
        <v>4634.3999999999996</v>
      </c>
      <c r="R50" s="95">
        <f t="shared" si="11"/>
        <v>4634.3999999999996</v>
      </c>
      <c r="S50" s="85"/>
      <c r="T50" s="80"/>
      <c r="U50" s="77"/>
      <c r="V50" s="80"/>
      <c r="W50" s="80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</row>
    <row r="51" spans="1:73" ht="18.75">
      <c r="A51" s="7" t="s">
        <v>89</v>
      </c>
      <c r="B51" s="89">
        <v>196</v>
      </c>
      <c r="C51" s="51">
        <v>952.1</v>
      </c>
      <c r="D51" s="51">
        <v>210.8</v>
      </c>
      <c r="E51" s="63">
        <v>587</v>
      </c>
      <c r="F51" s="63">
        <v>1037.3</v>
      </c>
      <c r="G51" s="63">
        <v>111.6</v>
      </c>
      <c r="H51" s="64"/>
      <c r="I51" s="64"/>
      <c r="J51" s="108">
        <v>229</v>
      </c>
      <c r="K51" s="42">
        <v>26.4</v>
      </c>
      <c r="L51" s="6">
        <f>919.9+71.3</f>
        <v>991.19999999999993</v>
      </c>
      <c r="M51" s="123">
        <f t="shared" si="12"/>
        <v>3541.7</v>
      </c>
      <c r="N51" s="125">
        <f t="shared" si="7"/>
        <v>603.79999999999995</v>
      </c>
      <c r="O51" s="39">
        <f t="shared" si="8"/>
        <v>18.07</v>
      </c>
      <c r="P51" s="93">
        <f t="shared" si="9"/>
        <v>0.87782365800340056</v>
      </c>
      <c r="Q51" s="92">
        <f t="shared" si="10"/>
        <v>4145.5</v>
      </c>
      <c r="R51" s="95">
        <f t="shared" si="11"/>
        <v>4145.3999999999996</v>
      </c>
      <c r="S51" s="85"/>
      <c r="U51" s="77"/>
    </row>
    <row r="52" spans="1:73" s="107" customFormat="1" ht="18.75">
      <c r="A52" s="120">
        <v>214</v>
      </c>
      <c r="B52" s="106">
        <v>359</v>
      </c>
      <c r="C52" s="52">
        <v>1116.2</v>
      </c>
      <c r="D52" s="52">
        <v>247.1</v>
      </c>
      <c r="E52" s="65">
        <v>499.3</v>
      </c>
      <c r="F52" s="65">
        <f>1280.8+166.5</f>
        <v>1447.3</v>
      </c>
      <c r="G52" s="65">
        <v>148.5</v>
      </c>
      <c r="H52" s="66"/>
      <c r="I52" s="66"/>
      <c r="J52" s="96">
        <v>199</v>
      </c>
      <c r="K52" s="42">
        <v>65.7</v>
      </c>
      <c r="L52" s="97">
        <f>1734.3+134.2</f>
        <v>1868.5</v>
      </c>
      <c r="M52" s="123">
        <f t="shared" si="12"/>
        <v>4752.3</v>
      </c>
      <c r="N52" s="125">
        <f t="shared" si="7"/>
        <v>839.3</v>
      </c>
      <c r="O52" s="39">
        <f t="shared" si="8"/>
        <v>13.238</v>
      </c>
      <c r="P52" s="93">
        <f t="shared" si="9"/>
        <v>0.64308962837017236</v>
      </c>
      <c r="Q52" s="92">
        <f t="shared" si="10"/>
        <v>5591.6</v>
      </c>
      <c r="R52" s="95">
        <f t="shared" si="11"/>
        <v>5591.5999999999995</v>
      </c>
      <c r="S52" s="85"/>
      <c r="T52" s="80"/>
      <c r="U52" s="77"/>
      <c r="V52" s="80"/>
      <c r="W52" s="80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</row>
    <row r="53" spans="1:73" ht="18.75">
      <c r="A53" s="121" t="s">
        <v>90</v>
      </c>
      <c r="B53" s="89">
        <v>217</v>
      </c>
      <c r="C53" s="51">
        <v>881.7</v>
      </c>
      <c r="D53" s="51">
        <v>195.2</v>
      </c>
      <c r="E53" s="63">
        <v>478.1</v>
      </c>
      <c r="F53" s="63">
        <f>734.3+94.3</f>
        <v>828.59999999999991</v>
      </c>
      <c r="G53" s="63">
        <v>111</v>
      </c>
      <c r="H53" s="64"/>
      <c r="I53" s="64"/>
      <c r="J53" s="108">
        <v>154</v>
      </c>
      <c r="K53" s="42">
        <v>33.799999999999997</v>
      </c>
      <c r="L53" s="6">
        <f>923.5+71.5</f>
        <v>995</v>
      </c>
      <c r="M53" s="123">
        <f t="shared" si="12"/>
        <v>3181.5</v>
      </c>
      <c r="N53" s="125">
        <f t="shared" si="7"/>
        <v>495.9</v>
      </c>
      <c r="O53" s="39">
        <f t="shared" si="8"/>
        <v>14.661</v>
      </c>
      <c r="P53" s="93">
        <f t="shared" si="9"/>
        <v>0.71221763419965989</v>
      </c>
      <c r="Q53" s="92">
        <f t="shared" si="10"/>
        <v>3677.4</v>
      </c>
      <c r="R53" s="95">
        <f t="shared" si="11"/>
        <v>3677.4</v>
      </c>
      <c r="S53" s="85"/>
      <c r="U53" s="77"/>
    </row>
    <row r="54" spans="1:73" ht="18.75">
      <c r="A54" s="7" t="s">
        <v>91</v>
      </c>
      <c r="B54" s="89">
        <v>199</v>
      </c>
      <c r="C54" s="51">
        <v>811.4</v>
      </c>
      <c r="D54" s="51">
        <v>179.7</v>
      </c>
      <c r="E54" s="65">
        <v>320</v>
      </c>
      <c r="F54" s="65">
        <v>792.6</v>
      </c>
      <c r="G54" s="65">
        <v>85.3</v>
      </c>
      <c r="H54" s="64"/>
      <c r="I54" s="64"/>
      <c r="J54" s="108">
        <v>154</v>
      </c>
      <c r="K54" s="42">
        <v>27.5</v>
      </c>
      <c r="L54" s="6">
        <f>852.5+66.1</f>
        <v>918.6</v>
      </c>
      <c r="M54" s="123">
        <f t="shared" si="12"/>
        <v>2833.3</v>
      </c>
      <c r="N54" s="125">
        <f t="shared" si="7"/>
        <v>455.8</v>
      </c>
      <c r="O54" s="39">
        <f t="shared" si="8"/>
        <v>14.238</v>
      </c>
      <c r="P54" s="93">
        <f t="shared" si="9"/>
        <v>0.69166869079426763</v>
      </c>
      <c r="Q54" s="92">
        <f t="shared" si="10"/>
        <v>3289.1000000000004</v>
      </c>
      <c r="R54" s="95">
        <f t="shared" si="11"/>
        <v>3289.1</v>
      </c>
      <c r="S54" s="85"/>
      <c r="U54" s="77"/>
    </row>
    <row r="55" spans="1:73" s="107" customFormat="1" ht="18.75">
      <c r="A55" s="120">
        <v>226</v>
      </c>
      <c r="B55" s="106">
        <v>458</v>
      </c>
      <c r="C55" s="52">
        <v>1397.6</v>
      </c>
      <c r="D55" s="52">
        <v>309.39999999999998</v>
      </c>
      <c r="E55" s="63">
        <v>776.5</v>
      </c>
      <c r="F55" s="63">
        <f>995.5+128.9</f>
        <v>1124.4000000000001</v>
      </c>
      <c r="G55" s="63">
        <v>138.1</v>
      </c>
      <c r="H55" s="66"/>
      <c r="I55" s="66"/>
      <c r="J55" s="96">
        <v>274</v>
      </c>
      <c r="K55" s="42">
        <v>60.5</v>
      </c>
      <c r="L55" s="97">
        <f>2165.1+167.6</f>
        <v>2332.6999999999998</v>
      </c>
      <c r="M55" s="123">
        <f t="shared" si="12"/>
        <v>5712.9</v>
      </c>
      <c r="N55" s="125">
        <f t="shared" si="7"/>
        <v>700.4</v>
      </c>
      <c r="O55" s="39">
        <f t="shared" si="8"/>
        <v>12.474</v>
      </c>
      <c r="P55" s="93">
        <f t="shared" si="9"/>
        <v>0.60597522467816367</v>
      </c>
      <c r="Q55" s="92">
        <f t="shared" si="10"/>
        <v>6413.2999999999993</v>
      </c>
      <c r="R55" s="95">
        <f t="shared" si="11"/>
        <v>6413.2</v>
      </c>
      <c r="S55" s="85"/>
      <c r="T55" s="80"/>
      <c r="U55" s="77"/>
      <c r="V55" s="80"/>
      <c r="W55" s="80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</row>
    <row r="56" spans="1:73" ht="18.75">
      <c r="A56" s="7" t="s">
        <v>92</v>
      </c>
      <c r="B56" s="89">
        <v>475</v>
      </c>
      <c r="C56" s="51">
        <v>1397.6</v>
      </c>
      <c r="D56" s="51">
        <v>309.39999999999998</v>
      </c>
      <c r="E56" s="63">
        <v>1057.7</v>
      </c>
      <c r="F56" s="63">
        <f>908.5+116.4</f>
        <v>1024.9000000000001</v>
      </c>
      <c r="G56" s="63">
        <v>218.6</v>
      </c>
      <c r="H56" s="64"/>
      <c r="I56" s="64"/>
      <c r="J56" s="108">
        <v>274</v>
      </c>
      <c r="K56" s="42">
        <v>63.8</v>
      </c>
      <c r="L56" s="6">
        <f>2179.6+168.8</f>
        <v>2348.4</v>
      </c>
      <c r="M56" s="123">
        <f t="shared" si="12"/>
        <v>6012.4</v>
      </c>
      <c r="N56" s="125">
        <f t="shared" si="7"/>
        <v>682</v>
      </c>
      <c r="O56" s="39">
        <f t="shared" si="8"/>
        <v>12.657999999999999</v>
      </c>
      <c r="P56" s="93">
        <f t="shared" si="9"/>
        <v>0.61491377216419718</v>
      </c>
      <c r="Q56" s="92">
        <f t="shared" si="10"/>
        <v>6694.4</v>
      </c>
      <c r="R56" s="95">
        <f t="shared" si="11"/>
        <v>6694.4</v>
      </c>
      <c r="S56" s="85"/>
      <c r="U56" s="77"/>
    </row>
    <row r="57" spans="1:73" ht="18.75">
      <c r="A57" s="7" t="s">
        <v>93</v>
      </c>
      <c r="B57" s="89">
        <v>216</v>
      </c>
      <c r="C57" s="51">
        <v>811.4</v>
      </c>
      <c r="D57" s="51">
        <v>179.7</v>
      </c>
      <c r="E57" s="63">
        <v>261.89999999999998</v>
      </c>
      <c r="F57" s="63">
        <f>643.8+83.6</f>
        <v>727.4</v>
      </c>
      <c r="G57" s="63">
        <v>90.4</v>
      </c>
      <c r="H57" s="64"/>
      <c r="I57" s="64"/>
      <c r="J57" s="108">
        <v>154</v>
      </c>
      <c r="K57" s="42">
        <v>40</v>
      </c>
      <c r="L57" s="6">
        <f>1005.2+77.9</f>
        <v>1083.1000000000001</v>
      </c>
      <c r="M57" s="123">
        <f t="shared" si="12"/>
        <v>2918</v>
      </c>
      <c r="N57" s="125">
        <f t="shared" si="7"/>
        <v>429.9</v>
      </c>
      <c r="O57" s="39">
        <f t="shared" si="8"/>
        <v>13.509</v>
      </c>
      <c r="P57" s="93">
        <f t="shared" si="9"/>
        <v>0.65625455428710222</v>
      </c>
      <c r="Q57" s="92">
        <f t="shared" si="10"/>
        <v>3347.9</v>
      </c>
      <c r="R57" s="95">
        <f t="shared" si="11"/>
        <v>3347.9000000000005</v>
      </c>
      <c r="S57" s="85"/>
      <c r="U57" s="77"/>
    </row>
    <row r="58" spans="1:73" s="107" customFormat="1" ht="18.75">
      <c r="A58" s="120">
        <v>235</v>
      </c>
      <c r="B58" s="106">
        <v>171</v>
      </c>
      <c r="C58" s="52">
        <v>834.8</v>
      </c>
      <c r="D58" s="52">
        <v>184.8</v>
      </c>
      <c r="E58" s="65">
        <v>390.5</v>
      </c>
      <c r="F58" s="65">
        <v>587.79999999999995</v>
      </c>
      <c r="G58" s="65">
        <v>69.599999999999994</v>
      </c>
      <c r="H58" s="66"/>
      <c r="I58" s="66"/>
      <c r="J58" s="96">
        <v>154</v>
      </c>
      <c r="K58" s="42">
        <v>27.9</v>
      </c>
      <c r="L58" s="97">
        <f>816.3+63.2</f>
        <v>879.5</v>
      </c>
      <c r="M58" s="123">
        <f t="shared" si="12"/>
        <v>2768.1</v>
      </c>
      <c r="N58" s="125">
        <f t="shared" si="7"/>
        <v>360.9</v>
      </c>
      <c r="O58" s="39">
        <f t="shared" si="8"/>
        <v>16.187999999999999</v>
      </c>
      <c r="P58" s="93">
        <f t="shared" si="9"/>
        <v>0.78639786252125321</v>
      </c>
      <c r="Q58" s="92">
        <f t="shared" si="10"/>
        <v>3129</v>
      </c>
      <c r="R58" s="95">
        <f t="shared" si="11"/>
        <v>3128.9</v>
      </c>
      <c r="S58" s="85"/>
      <c r="T58" s="80"/>
      <c r="U58" s="77"/>
      <c r="V58" s="80"/>
      <c r="W58" s="80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</row>
    <row r="59" spans="1:73" ht="18.75">
      <c r="A59" s="7" t="s">
        <v>94</v>
      </c>
      <c r="B59" s="89">
        <v>445</v>
      </c>
      <c r="C59" s="51">
        <v>1327.3</v>
      </c>
      <c r="D59" s="51">
        <v>293.89999999999998</v>
      </c>
      <c r="E59" s="63">
        <v>593.5</v>
      </c>
      <c r="F59" s="63">
        <v>1388.2</v>
      </c>
      <c r="G59" s="63">
        <v>185.4</v>
      </c>
      <c r="H59" s="64"/>
      <c r="I59" s="64"/>
      <c r="J59" s="108">
        <v>274</v>
      </c>
      <c r="K59" s="42">
        <v>60.5</v>
      </c>
      <c r="L59" s="6">
        <f>1837.9+142.3</f>
        <v>1980.2</v>
      </c>
      <c r="M59" s="123">
        <f t="shared" si="12"/>
        <v>5289.1</v>
      </c>
      <c r="N59" s="125">
        <f t="shared" si="7"/>
        <v>814</v>
      </c>
      <c r="O59" s="39">
        <f t="shared" si="8"/>
        <v>11.885999999999999</v>
      </c>
      <c r="P59" s="93">
        <f t="shared" si="9"/>
        <v>0.57741073597279569</v>
      </c>
      <c r="Q59" s="92">
        <f t="shared" si="10"/>
        <v>6103.1</v>
      </c>
      <c r="R59" s="95">
        <f t="shared" si="11"/>
        <v>6102.9999999999991</v>
      </c>
      <c r="S59" s="85"/>
      <c r="U59" s="77"/>
    </row>
    <row r="60" spans="1:73" ht="18.75">
      <c r="A60" s="7" t="s">
        <v>95</v>
      </c>
      <c r="B60" s="89">
        <v>422</v>
      </c>
      <c r="C60" s="51">
        <v>1092.8</v>
      </c>
      <c r="D60" s="51">
        <v>242</v>
      </c>
      <c r="E60" s="63">
        <v>556.70000000000005</v>
      </c>
      <c r="F60" s="63">
        <v>1817.9</v>
      </c>
      <c r="G60" s="63">
        <v>121.9</v>
      </c>
      <c r="H60" s="64"/>
      <c r="I60" s="64"/>
      <c r="J60" s="108">
        <v>187</v>
      </c>
      <c r="K60" s="42">
        <v>58.1</v>
      </c>
      <c r="L60" s="6">
        <f>1881.6+145.7</f>
        <v>2027.3</v>
      </c>
      <c r="M60" s="123">
        <f t="shared" si="12"/>
        <v>5081</v>
      </c>
      <c r="N60" s="125">
        <f t="shared" si="7"/>
        <v>1022.7</v>
      </c>
      <c r="O60" s="39">
        <f t="shared" si="8"/>
        <v>12.04</v>
      </c>
      <c r="P60" s="93">
        <f t="shared" si="9"/>
        <v>0.58489191158610632</v>
      </c>
      <c r="Q60" s="92">
        <f t="shared" si="10"/>
        <v>6103.7</v>
      </c>
      <c r="R60" s="95">
        <f t="shared" si="11"/>
        <v>6103.7</v>
      </c>
      <c r="S60" s="85"/>
      <c r="U60" s="77"/>
    </row>
    <row r="61" spans="1:73" ht="18.75">
      <c r="A61" s="7" t="s">
        <v>96</v>
      </c>
      <c r="B61" s="89">
        <v>161</v>
      </c>
      <c r="C61" s="51">
        <v>741</v>
      </c>
      <c r="D61" s="51">
        <v>164.1</v>
      </c>
      <c r="E61" s="63">
        <v>666.1</v>
      </c>
      <c r="F61" s="63">
        <v>407.6</v>
      </c>
      <c r="G61" s="63">
        <v>114.6</v>
      </c>
      <c r="H61" s="64"/>
      <c r="I61" s="64"/>
      <c r="J61" s="108">
        <v>154</v>
      </c>
      <c r="K61" s="42">
        <v>22.2</v>
      </c>
      <c r="L61" s="6">
        <f>843.5+65.4</f>
        <v>908.9</v>
      </c>
      <c r="M61" s="123">
        <f t="shared" si="12"/>
        <v>2885.9</v>
      </c>
      <c r="N61" s="125">
        <f t="shared" ref="N61:N124" si="13">ROUND(K61+(F61-(F61/2))+(E61*0.1),1)</f>
        <v>292.60000000000002</v>
      </c>
      <c r="O61" s="39">
        <f t="shared" si="8"/>
        <v>17.925000000000001</v>
      </c>
      <c r="P61" s="93">
        <f t="shared" si="9"/>
        <v>0.87077969395190669</v>
      </c>
      <c r="Q61" s="92">
        <f t="shared" si="10"/>
        <v>3178.5</v>
      </c>
      <c r="R61" s="95">
        <f t="shared" si="11"/>
        <v>3178.5</v>
      </c>
      <c r="S61" s="85"/>
      <c r="U61" s="77"/>
    </row>
    <row r="62" spans="1:73" s="107" customFormat="1" ht="18.75">
      <c r="A62" s="120">
        <v>40</v>
      </c>
      <c r="B62" s="106">
        <v>51</v>
      </c>
      <c r="C62" s="52">
        <v>655</v>
      </c>
      <c r="D62" s="52">
        <v>145</v>
      </c>
      <c r="E62" s="65">
        <v>149</v>
      </c>
      <c r="F62" s="65">
        <v>246.7</v>
      </c>
      <c r="G62" s="65">
        <v>36.700000000000003</v>
      </c>
      <c r="H62" s="66"/>
      <c r="I62" s="66"/>
      <c r="J62" s="98">
        <v>130</v>
      </c>
      <c r="K62" s="42">
        <v>20.2</v>
      </c>
      <c r="L62" s="44">
        <f>1068.9+82.8</f>
        <v>1151.7</v>
      </c>
      <c r="M62" s="123">
        <f t="shared" si="12"/>
        <v>2375.9</v>
      </c>
      <c r="N62" s="125">
        <f t="shared" si="13"/>
        <v>158.5</v>
      </c>
      <c r="O62" s="39">
        <f t="shared" si="8"/>
        <v>46.585999999999999</v>
      </c>
      <c r="P62" s="93">
        <f t="shared" si="9"/>
        <v>2.2631042020888996</v>
      </c>
      <c r="Q62" s="92">
        <f t="shared" si="10"/>
        <v>2534.4</v>
      </c>
      <c r="R62" s="95">
        <f t="shared" si="11"/>
        <v>2534.3000000000002</v>
      </c>
      <c r="S62" s="85"/>
      <c r="T62" s="80"/>
      <c r="U62" s="77"/>
      <c r="V62" s="80"/>
      <c r="W62" s="80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</row>
    <row r="63" spans="1:73" ht="18.75">
      <c r="A63" s="7" t="s">
        <v>97</v>
      </c>
      <c r="B63" s="89">
        <v>164</v>
      </c>
      <c r="C63" s="51">
        <v>866.1</v>
      </c>
      <c r="D63" s="51">
        <v>191.8</v>
      </c>
      <c r="E63" s="63">
        <v>884.2</v>
      </c>
      <c r="F63" s="63">
        <v>520.29999999999995</v>
      </c>
      <c r="G63" s="63">
        <v>100.5</v>
      </c>
      <c r="H63" s="64"/>
      <c r="I63" s="64"/>
      <c r="J63" s="109">
        <v>154</v>
      </c>
      <c r="K63" s="42">
        <v>17.8</v>
      </c>
      <c r="L63" s="42">
        <f>743.5+57.5</f>
        <v>801</v>
      </c>
      <c r="M63" s="123">
        <f t="shared" si="12"/>
        <v>3169.3</v>
      </c>
      <c r="N63" s="125">
        <f t="shared" si="13"/>
        <v>366.4</v>
      </c>
      <c r="O63" s="39">
        <f t="shared" si="8"/>
        <v>19.324999999999999</v>
      </c>
      <c r="P63" s="93">
        <f t="shared" si="9"/>
        <v>0.93879038134563997</v>
      </c>
      <c r="Q63" s="92">
        <f t="shared" si="10"/>
        <v>3535.7000000000003</v>
      </c>
      <c r="R63" s="95">
        <f t="shared" si="11"/>
        <v>3535.7000000000003</v>
      </c>
      <c r="S63" s="85"/>
      <c r="U63" s="77"/>
    </row>
    <row r="64" spans="1:73" s="107" customFormat="1" ht="18.75">
      <c r="A64" s="120">
        <v>55</v>
      </c>
      <c r="B64" s="106">
        <v>162</v>
      </c>
      <c r="C64" s="52">
        <v>866.1</v>
      </c>
      <c r="D64" s="52">
        <v>191.8</v>
      </c>
      <c r="E64" s="65">
        <v>271</v>
      </c>
      <c r="F64" s="65">
        <v>601.9</v>
      </c>
      <c r="G64" s="65">
        <v>66.2</v>
      </c>
      <c r="H64" s="66"/>
      <c r="I64" s="66"/>
      <c r="J64" s="98">
        <v>154</v>
      </c>
      <c r="K64" s="42">
        <v>31.7</v>
      </c>
      <c r="L64" s="44">
        <f>2536.1+196.4</f>
        <v>2732.5</v>
      </c>
      <c r="M64" s="123">
        <f t="shared" si="12"/>
        <v>4555.5</v>
      </c>
      <c r="N64" s="125">
        <f t="shared" si="13"/>
        <v>359.8</v>
      </c>
      <c r="O64" s="39">
        <f t="shared" si="8"/>
        <v>28.12</v>
      </c>
      <c r="P64" s="93">
        <f t="shared" si="9"/>
        <v>1.3660432353655574</v>
      </c>
      <c r="Q64" s="92">
        <f t="shared" si="10"/>
        <v>4915.3</v>
      </c>
      <c r="R64" s="95">
        <f t="shared" si="11"/>
        <v>4915.2</v>
      </c>
      <c r="S64" s="85"/>
      <c r="T64" s="80"/>
      <c r="U64" s="77"/>
      <c r="V64" s="80"/>
      <c r="W64" s="80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</row>
    <row r="65" spans="1:73" ht="18.75">
      <c r="A65" s="7" t="s">
        <v>98</v>
      </c>
      <c r="B65" s="89">
        <v>187</v>
      </c>
      <c r="C65" s="51">
        <v>1286.5999999999999</v>
      </c>
      <c r="D65" s="51">
        <v>284.89999999999998</v>
      </c>
      <c r="E65" s="63">
        <v>319.60000000000002</v>
      </c>
      <c r="F65" s="63">
        <v>516.1</v>
      </c>
      <c r="G65" s="63">
        <v>51.4</v>
      </c>
      <c r="H65" s="64"/>
      <c r="I65" s="64"/>
      <c r="J65" s="109">
        <v>164</v>
      </c>
      <c r="K65" s="42">
        <v>52.8</v>
      </c>
      <c r="L65" s="42">
        <f>789+61.1</f>
        <v>850.1</v>
      </c>
      <c r="M65" s="123">
        <f t="shared" si="12"/>
        <v>3182.7</v>
      </c>
      <c r="N65" s="125">
        <f t="shared" si="13"/>
        <v>342.8</v>
      </c>
      <c r="O65" s="39">
        <f t="shared" si="8"/>
        <v>17.02</v>
      </c>
      <c r="P65" s="93">
        <f t="shared" si="9"/>
        <v>0.82681564245810046</v>
      </c>
      <c r="Q65" s="92">
        <f t="shared" si="10"/>
        <v>3525.5</v>
      </c>
      <c r="R65" s="95">
        <f t="shared" si="11"/>
        <v>3525.5</v>
      </c>
      <c r="S65" s="85"/>
      <c r="U65" s="77"/>
    </row>
    <row r="66" spans="1:73" ht="18.75">
      <c r="A66" s="7" t="s">
        <v>99</v>
      </c>
      <c r="B66" s="89">
        <v>178</v>
      </c>
      <c r="C66" s="51">
        <v>928.6</v>
      </c>
      <c r="D66" s="51">
        <v>205.6</v>
      </c>
      <c r="E66" s="63">
        <v>340.6</v>
      </c>
      <c r="F66" s="63">
        <v>524.9</v>
      </c>
      <c r="G66" s="63">
        <v>77.5</v>
      </c>
      <c r="H66" s="64"/>
      <c r="I66" s="64"/>
      <c r="J66" s="109">
        <v>154</v>
      </c>
      <c r="K66" s="42">
        <v>26.8</v>
      </c>
      <c r="L66" s="42">
        <f>801.7+62.1</f>
        <v>863.80000000000007</v>
      </c>
      <c r="M66" s="123">
        <f t="shared" si="12"/>
        <v>2798.5</v>
      </c>
      <c r="N66" s="125">
        <f t="shared" si="13"/>
        <v>323.3</v>
      </c>
      <c r="O66" s="39">
        <f t="shared" si="8"/>
        <v>15.722</v>
      </c>
      <c r="P66" s="93">
        <f t="shared" si="9"/>
        <v>0.76376001943162497</v>
      </c>
      <c r="Q66" s="92">
        <f t="shared" si="10"/>
        <v>3121.8</v>
      </c>
      <c r="R66" s="95">
        <f t="shared" si="11"/>
        <v>3121.8000000000006</v>
      </c>
      <c r="S66" s="85"/>
      <c r="U66" s="77"/>
    </row>
    <row r="67" spans="1:73" ht="18.75">
      <c r="A67" s="7" t="s">
        <v>100</v>
      </c>
      <c r="B67" s="89">
        <v>265</v>
      </c>
      <c r="C67" s="51">
        <v>1217.9000000000001</v>
      </c>
      <c r="D67" s="51">
        <v>269.7</v>
      </c>
      <c r="E67" s="63">
        <v>497.7</v>
      </c>
      <c r="F67" s="63">
        <v>1011.5</v>
      </c>
      <c r="G67" s="63">
        <v>129.5</v>
      </c>
      <c r="H67" s="64"/>
      <c r="I67" s="64"/>
      <c r="J67" s="109">
        <v>168</v>
      </c>
      <c r="K67" s="42">
        <v>35.6</v>
      </c>
      <c r="L67" s="42">
        <f>1167.1+90.4</f>
        <v>1257.5</v>
      </c>
      <c r="M67" s="123">
        <f t="shared" si="12"/>
        <v>3996.3</v>
      </c>
      <c r="N67" s="125">
        <f t="shared" si="13"/>
        <v>591.1</v>
      </c>
      <c r="O67" s="39">
        <f t="shared" si="8"/>
        <v>15.08</v>
      </c>
      <c r="P67" s="93">
        <f t="shared" si="9"/>
        <v>0.7325722613553558</v>
      </c>
      <c r="Q67" s="92">
        <f t="shared" si="10"/>
        <v>4587.4000000000005</v>
      </c>
      <c r="R67" s="95">
        <f t="shared" si="11"/>
        <v>4587.3999999999996</v>
      </c>
      <c r="S67" s="85"/>
      <c r="U67" s="77"/>
    </row>
    <row r="68" spans="1:73" s="107" customFormat="1" ht="18.75">
      <c r="A68" s="120">
        <v>115</v>
      </c>
      <c r="B68" s="106">
        <v>58</v>
      </c>
      <c r="C68" s="52">
        <v>655</v>
      </c>
      <c r="D68" s="52">
        <v>145</v>
      </c>
      <c r="E68" s="65">
        <v>235.8</v>
      </c>
      <c r="F68" s="65">
        <v>390.3</v>
      </c>
      <c r="G68" s="65">
        <v>30.5</v>
      </c>
      <c r="H68" s="66"/>
      <c r="I68" s="66"/>
      <c r="J68" s="98">
        <v>130</v>
      </c>
      <c r="K68" s="42">
        <v>26.7</v>
      </c>
      <c r="L68" s="44">
        <f>450.9+35</f>
        <v>485.9</v>
      </c>
      <c r="M68" s="123">
        <f t="shared" si="12"/>
        <v>1853.8</v>
      </c>
      <c r="N68" s="125">
        <f t="shared" si="13"/>
        <v>245.4</v>
      </c>
      <c r="O68" s="39">
        <f t="shared" si="8"/>
        <v>31.962</v>
      </c>
      <c r="P68" s="93">
        <f t="shared" si="9"/>
        <v>1.5526839931989311</v>
      </c>
      <c r="Q68" s="92">
        <f t="shared" si="10"/>
        <v>2099.1999999999998</v>
      </c>
      <c r="R68" s="95">
        <f t="shared" si="11"/>
        <v>2099.1999999999998</v>
      </c>
      <c r="S68" s="85"/>
      <c r="T68" s="80"/>
      <c r="U68" s="77"/>
      <c r="V68" s="80"/>
      <c r="W68" s="80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</row>
    <row r="69" spans="1:73" ht="18.75">
      <c r="A69" s="7" t="s">
        <v>101</v>
      </c>
      <c r="B69" s="89">
        <v>190</v>
      </c>
      <c r="C69" s="51">
        <v>999</v>
      </c>
      <c r="D69" s="51">
        <v>221.2</v>
      </c>
      <c r="E69" s="63">
        <v>379.9</v>
      </c>
      <c r="F69" s="63">
        <v>416.3</v>
      </c>
      <c r="G69" s="63">
        <v>58</v>
      </c>
      <c r="H69" s="64"/>
      <c r="I69" s="64"/>
      <c r="J69" s="109">
        <v>154</v>
      </c>
      <c r="K69" s="42">
        <v>29.3</v>
      </c>
      <c r="L69" s="42">
        <f>919.8+71.2</f>
        <v>991</v>
      </c>
      <c r="M69" s="123">
        <f t="shared" si="12"/>
        <v>2973.3</v>
      </c>
      <c r="N69" s="125">
        <f t="shared" si="13"/>
        <v>275.39999999999998</v>
      </c>
      <c r="O69" s="39">
        <f t="shared" si="8"/>
        <v>15.648999999999999</v>
      </c>
      <c r="P69" s="93">
        <f t="shared" si="9"/>
        <v>0.76021374787466589</v>
      </c>
      <c r="Q69" s="92">
        <f t="shared" si="10"/>
        <v>3248.7000000000003</v>
      </c>
      <c r="R69" s="95">
        <f t="shared" si="11"/>
        <v>3248.7</v>
      </c>
      <c r="S69" s="85"/>
      <c r="U69" s="77"/>
    </row>
    <row r="70" spans="1:73" ht="18.75">
      <c r="A70" s="7" t="s">
        <v>102</v>
      </c>
      <c r="B70" s="89">
        <v>186</v>
      </c>
      <c r="C70" s="51">
        <v>873.9</v>
      </c>
      <c r="D70" s="51">
        <v>193.5</v>
      </c>
      <c r="E70" s="63">
        <v>163.69999999999999</v>
      </c>
      <c r="F70" s="63">
        <v>461.9</v>
      </c>
      <c r="G70" s="63">
        <v>60.3</v>
      </c>
      <c r="H70" s="64"/>
      <c r="I70" s="64"/>
      <c r="J70" s="109">
        <v>154</v>
      </c>
      <c r="K70" s="42">
        <v>32</v>
      </c>
      <c r="L70" s="42">
        <f>781.7+60.6</f>
        <v>842.30000000000007</v>
      </c>
      <c r="M70" s="123">
        <f t="shared" si="12"/>
        <v>2502.3000000000002</v>
      </c>
      <c r="N70" s="125">
        <f t="shared" si="13"/>
        <v>279.3</v>
      </c>
      <c r="O70" s="39">
        <f t="shared" si="8"/>
        <v>13.452999999999999</v>
      </c>
      <c r="P70" s="93">
        <f t="shared" si="9"/>
        <v>0.65353412679135292</v>
      </c>
      <c r="Q70" s="92">
        <f t="shared" si="10"/>
        <v>2781.6000000000004</v>
      </c>
      <c r="R70" s="95">
        <f t="shared" si="11"/>
        <v>2781.6</v>
      </c>
      <c r="S70" s="85"/>
      <c r="U70" s="77"/>
    </row>
    <row r="71" spans="1:73" ht="18.75">
      <c r="A71" s="7" t="s">
        <v>103</v>
      </c>
      <c r="B71" s="89">
        <v>127</v>
      </c>
      <c r="C71" s="51">
        <v>827</v>
      </c>
      <c r="D71" s="51">
        <v>183.1</v>
      </c>
      <c r="E71" s="63">
        <v>189.9</v>
      </c>
      <c r="F71" s="63">
        <v>603.6</v>
      </c>
      <c r="G71" s="63">
        <v>52.3</v>
      </c>
      <c r="H71" s="64"/>
      <c r="I71" s="64"/>
      <c r="J71" s="109">
        <v>150</v>
      </c>
      <c r="K71" s="42">
        <v>35.299999999999997</v>
      </c>
      <c r="L71" s="42">
        <f>676.2+52.4</f>
        <v>728.6</v>
      </c>
      <c r="M71" s="123">
        <f t="shared" si="12"/>
        <v>2413.6999999999998</v>
      </c>
      <c r="N71" s="125">
        <f t="shared" si="13"/>
        <v>356.1</v>
      </c>
      <c r="O71" s="39">
        <f t="shared" si="8"/>
        <v>19.006</v>
      </c>
      <c r="P71" s="93">
        <f t="shared" si="9"/>
        <v>0.92329366043235361</v>
      </c>
      <c r="Q71" s="92">
        <f t="shared" si="10"/>
        <v>2769.7999999999997</v>
      </c>
      <c r="R71" s="95">
        <f t="shared" si="11"/>
        <v>2769.7999999999997</v>
      </c>
      <c r="S71" s="85"/>
      <c r="U71" s="77"/>
    </row>
    <row r="72" spans="1:73" ht="18.75">
      <c r="A72" s="7" t="s">
        <v>104</v>
      </c>
      <c r="B72" s="89">
        <v>222</v>
      </c>
      <c r="C72" s="51">
        <v>1006.8</v>
      </c>
      <c r="D72" s="51">
        <v>222.9</v>
      </c>
      <c r="E72" s="63">
        <f>284.9</f>
        <v>284.89999999999998</v>
      </c>
      <c r="F72" s="63">
        <f>604.9+78.2</f>
        <v>683.1</v>
      </c>
      <c r="G72" s="63">
        <v>57.8</v>
      </c>
      <c r="H72" s="64"/>
      <c r="I72" s="64"/>
      <c r="J72" s="109">
        <v>154</v>
      </c>
      <c r="K72" s="42">
        <v>27.8</v>
      </c>
      <c r="L72" s="42">
        <f>1030.8+79.8</f>
        <v>1110.5999999999999</v>
      </c>
      <c r="M72" s="123">
        <f t="shared" si="12"/>
        <v>3150.1</v>
      </c>
      <c r="N72" s="125">
        <f t="shared" si="13"/>
        <v>397.8</v>
      </c>
      <c r="O72" s="39">
        <f t="shared" si="8"/>
        <v>14.19</v>
      </c>
      <c r="P72" s="93">
        <f t="shared" si="9"/>
        <v>0.68933689579791102</v>
      </c>
      <c r="Q72" s="92">
        <f t="shared" si="10"/>
        <v>3547.9</v>
      </c>
      <c r="R72" s="95">
        <f t="shared" si="11"/>
        <v>3547.9</v>
      </c>
      <c r="S72" s="85"/>
      <c r="U72" s="77"/>
    </row>
    <row r="73" spans="1:73" ht="18.75">
      <c r="A73" s="7" t="s">
        <v>105</v>
      </c>
      <c r="B73" s="89">
        <v>118</v>
      </c>
      <c r="C73" s="51">
        <v>741</v>
      </c>
      <c r="D73" s="51">
        <v>164.1</v>
      </c>
      <c r="E73" s="63">
        <v>248.9</v>
      </c>
      <c r="F73" s="63">
        <v>450.3</v>
      </c>
      <c r="G73" s="63">
        <v>40.700000000000003</v>
      </c>
      <c r="H73" s="64"/>
      <c r="I73" s="64"/>
      <c r="J73" s="109">
        <v>130</v>
      </c>
      <c r="K73" s="42">
        <v>18.600000000000001</v>
      </c>
      <c r="L73" s="42">
        <f>561.7+43.5</f>
        <v>605.20000000000005</v>
      </c>
      <c r="M73" s="123">
        <f t="shared" si="12"/>
        <v>2130.1999999999998</v>
      </c>
      <c r="N73" s="125">
        <f t="shared" si="13"/>
        <v>268.60000000000002</v>
      </c>
      <c r="O73" s="39">
        <f t="shared" si="8"/>
        <v>18.053000000000001</v>
      </c>
      <c r="P73" s="93">
        <f t="shared" si="9"/>
        <v>0.8769978139421909</v>
      </c>
      <c r="Q73" s="92">
        <f t="shared" si="10"/>
        <v>2398.7999999999997</v>
      </c>
      <c r="R73" s="95">
        <f t="shared" si="11"/>
        <v>2398.8000000000002</v>
      </c>
      <c r="S73" s="85"/>
      <c r="U73" s="77"/>
    </row>
    <row r="74" spans="1:73" ht="18.75">
      <c r="A74" s="7" t="s">
        <v>106</v>
      </c>
      <c r="B74" s="89">
        <v>188</v>
      </c>
      <c r="C74" s="51">
        <v>967.7</v>
      </c>
      <c r="D74" s="51">
        <v>214.3</v>
      </c>
      <c r="E74" s="63">
        <v>314.3</v>
      </c>
      <c r="F74" s="63">
        <v>771.6</v>
      </c>
      <c r="G74" s="63">
        <v>94</v>
      </c>
      <c r="H74" s="64"/>
      <c r="I74" s="64"/>
      <c r="J74" s="109">
        <v>154</v>
      </c>
      <c r="K74" s="42">
        <v>35.6</v>
      </c>
      <c r="L74" s="42">
        <f>861.7+66.7</f>
        <v>928.40000000000009</v>
      </c>
      <c r="M74" s="123">
        <f t="shared" si="12"/>
        <v>3027.1</v>
      </c>
      <c r="N74" s="125">
        <f t="shared" si="13"/>
        <v>452.8</v>
      </c>
      <c r="O74" s="39">
        <f t="shared" si="8"/>
        <v>16.102</v>
      </c>
      <c r="P74" s="93">
        <f t="shared" si="9"/>
        <v>0.78222006315278114</v>
      </c>
      <c r="Q74" s="92">
        <f t="shared" si="10"/>
        <v>3479.9</v>
      </c>
      <c r="R74" s="95">
        <f t="shared" si="11"/>
        <v>3479.9</v>
      </c>
      <c r="S74" s="85"/>
      <c r="U74" s="77"/>
    </row>
    <row r="75" spans="1:73" ht="18.75">
      <c r="A75" s="7" t="s">
        <v>107</v>
      </c>
      <c r="B75" s="89">
        <v>182</v>
      </c>
      <c r="C75" s="51">
        <v>967.7</v>
      </c>
      <c r="D75" s="51">
        <v>214.3</v>
      </c>
      <c r="E75" s="63">
        <v>334</v>
      </c>
      <c r="F75" s="63">
        <v>503</v>
      </c>
      <c r="G75" s="63">
        <v>99.3</v>
      </c>
      <c r="H75" s="64"/>
      <c r="I75" s="64"/>
      <c r="J75" s="109">
        <v>154</v>
      </c>
      <c r="K75" s="42">
        <v>27.6</v>
      </c>
      <c r="L75" s="42">
        <f>816.2+63.2</f>
        <v>879.40000000000009</v>
      </c>
      <c r="M75" s="123">
        <f t="shared" si="12"/>
        <v>2866.8</v>
      </c>
      <c r="N75" s="125">
        <f t="shared" si="13"/>
        <v>312.5</v>
      </c>
      <c r="O75" s="39">
        <f t="shared" si="8"/>
        <v>15.752000000000001</v>
      </c>
      <c r="P75" s="93">
        <f t="shared" si="9"/>
        <v>0.76521739130434785</v>
      </c>
      <c r="Q75" s="92">
        <f t="shared" si="10"/>
        <v>3179.3</v>
      </c>
      <c r="R75" s="95">
        <f t="shared" si="11"/>
        <v>3179.3</v>
      </c>
      <c r="S75" s="85"/>
      <c r="U75" s="77"/>
    </row>
    <row r="76" spans="1:73" s="107" customFormat="1" ht="18.75">
      <c r="A76" s="120">
        <v>159</v>
      </c>
      <c r="B76" s="106">
        <v>70</v>
      </c>
      <c r="C76" s="52">
        <v>795.7</v>
      </c>
      <c r="D76" s="52">
        <v>176.2</v>
      </c>
      <c r="E76" s="65">
        <v>275.10000000000002</v>
      </c>
      <c r="F76" s="65">
        <v>488.1</v>
      </c>
      <c r="G76" s="65">
        <v>34.1</v>
      </c>
      <c r="H76" s="66"/>
      <c r="I76" s="66"/>
      <c r="J76" s="98">
        <v>150</v>
      </c>
      <c r="K76" s="42">
        <v>28.5</v>
      </c>
      <c r="L76" s="44">
        <f>723.6+56</f>
        <v>779.6</v>
      </c>
      <c r="M76" s="123">
        <f t="shared" si="12"/>
        <v>2427.1999999999998</v>
      </c>
      <c r="N76" s="125">
        <f t="shared" si="13"/>
        <v>300.10000000000002</v>
      </c>
      <c r="O76" s="39">
        <f t="shared" si="8"/>
        <v>34.673999999999999</v>
      </c>
      <c r="P76" s="93">
        <f t="shared" si="9"/>
        <v>1.6844304104930774</v>
      </c>
      <c r="Q76" s="92">
        <f t="shared" si="10"/>
        <v>2727.2999999999997</v>
      </c>
      <c r="R76" s="95">
        <f t="shared" si="11"/>
        <v>2727.2999999999997</v>
      </c>
      <c r="S76" s="85"/>
      <c r="T76" s="80"/>
      <c r="U76" s="77"/>
      <c r="V76" s="80"/>
      <c r="W76" s="80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</row>
    <row r="77" spans="1:73" ht="18.75">
      <c r="A77" s="7" t="s">
        <v>108</v>
      </c>
      <c r="B77" s="89">
        <v>195</v>
      </c>
      <c r="C77" s="51">
        <v>952.1</v>
      </c>
      <c r="D77" s="51">
        <v>210.8</v>
      </c>
      <c r="E77" s="63">
        <v>322.89999999999998</v>
      </c>
      <c r="F77" s="63">
        <v>769.8</v>
      </c>
      <c r="G77" s="63">
        <v>91.1</v>
      </c>
      <c r="H77" s="64"/>
      <c r="I77" s="64"/>
      <c r="J77" s="109">
        <v>154</v>
      </c>
      <c r="K77" s="42">
        <v>39.5</v>
      </c>
      <c r="L77" s="42">
        <f>794.4+61.6</f>
        <v>856</v>
      </c>
      <c r="M77" s="123">
        <f t="shared" si="12"/>
        <v>2939.5</v>
      </c>
      <c r="N77" s="125">
        <f t="shared" si="13"/>
        <v>456.7</v>
      </c>
      <c r="O77" s="39">
        <f t="shared" si="8"/>
        <v>15.074</v>
      </c>
      <c r="P77" s="93">
        <f t="shared" si="9"/>
        <v>0.73228078698081123</v>
      </c>
      <c r="Q77" s="92">
        <f t="shared" si="10"/>
        <v>3396.2</v>
      </c>
      <c r="R77" s="95">
        <f t="shared" si="11"/>
        <v>3396.2000000000003</v>
      </c>
      <c r="S77" s="85"/>
      <c r="U77" s="77"/>
    </row>
    <row r="78" spans="1:73" s="107" customFormat="1" ht="18.75">
      <c r="A78" s="120">
        <v>173</v>
      </c>
      <c r="B78" s="106">
        <v>105</v>
      </c>
      <c r="C78" s="52">
        <v>905.2</v>
      </c>
      <c r="D78" s="52">
        <v>200.4</v>
      </c>
      <c r="E78" s="65">
        <v>248.9</v>
      </c>
      <c r="F78" s="65">
        <v>766.3</v>
      </c>
      <c r="G78" s="65">
        <v>61.6</v>
      </c>
      <c r="H78" s="66"/>
      <c r="I78" s="66"/>
      <c r="J78" s="98">
        <v>154</v>
      </c>
      <c r="K78" s="42">
        <v>27.6</v>
      </c>
      <c r="L78" s="44">
        <f>699.9+54.2</f>
        <v>754.1</v>
      </c>
      <c r="M78" s="123">
        <f t="shared" si="12"/>
        <v>2682.5</v>
      </c>
      <c r="N78" s="125">
        <f t="shared" si="13"/>
        <v>435.6</v>
      </c>
      <c r="O78" s="39">
        <f t="shared" si="8"/>
        <v>25.547999999999998</v>
      </c>
      <c r="P78" s="93">
        <f t="shared" si="9"/>
        <v>1.2410978868107845</v>
      </c>
      <c r="Q78" s="92">
        <f t="shared" si="10"/>
        <v>3118.1</v>
      </c>
      <c r="R78" s="95">
        <f t="shared" si="11"/>
        <v>3118.1</v>
      </c>
      <c r="S78" s="85"/>
      <c r="T78" s="80"/>
      <c r="U78" s="77"/>
      <c r="V78" s="80"/>
      <c r="W78" s="80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</row>
    <row r="79" spans="1:73" ht="18.75">
      <c r="A79" s="7" t="s">
        <v>109</v>
      </c>
      <c r="B79" s="89">
        <v>166</v>
      </c>
      <c r="C79" s="51">
        <v>873.9</v>
      </c>
      <c r="D79" s="51">
        <v>193.5</v>
      </c>
      <c r="E79" s="63">
        <v>390.9</v>
      </c>
      <c r="F79" s="63">
        <v>614.79999999999995</v>
      </c>
      <c r="G79" s="63">
        <v>71.5</v>
      </c>
      <c r="H79" s="64"/>
      <c r="I79" s="64"/>
      <c r="J79" s="109">
        <v>154</v>
      </c>
      <c r="K79" s="42">
        <v>24.2</v>
      </c>
      <c r="L79" s="42">
        <f>752.6+58.3</f>
        <v>810.9</v>
      </c>
      <c r="M79" s="123">
        <f t="shared" si="12"/>
        <v>2763</v>
      </c>
      <c r="N79" s="125">
        <f t="shared" si="13"/>
        <v>370.7</v>
      </c>
      <c r="O79" s="39">
        <f t="shared" si="8"/>
        <v>16.645</v>
      </c>
      <c r="P79" s="93">
        <f t="shared" si="9"/>
        <v>0.80859849404906481</v>
      </c>
      <c r="Q79" s="92">
        <f t="shared" si="10"/>
        <v>3133.7</v>
      </c>
      <c r="R79" s="95">
        <f t="shared" si="11"/>
        <v>3133.7000000000003</v>
      </c>
      <c r="S79" s="85"/>
      <c r="U79" s="77"/>
    </row>
    <row r="80" spans="1:73" s="107" customFormat="1" ht="18.75">
      <c r="A80" s="120">
        <v>201</v>
      </c>
      <c r="B80" s="106">
        <v>181</v>
      </c>
      <c r="C80" s="52">
        <v>936.4</v>
      </c>
      <c r="D80" s="52">
        <v>207.3</v>
      </c>
      <c r="E80" s="65">
        <v>343.8</v>
      </c>
      <c r="F80" s="65">
        <v>753.9</v>
      </c>
      <c r="G80" s="65">
        <v>78.5</v>
      </c>
      <c r="H80" s="66"/>
      <c r="I80" s="66"/>
      <c r="J80" s="98">
        <v>154</v>
      </c>
      <c r="K80" s="42">
        <v>33.4</v>
      </c>
      <c r="L80" s="44">
        <f>856.3+66.4</f>
        <v>922.69999999999993</v>
      </c>
      <c r="M80" s="123">
        <f t="shared" si="12"/>
        <v>2985.3</v>
      </c>
      <c r="N80" s="125">
        <f t="shared" si="13"/>
        <v>444.7</v>
      </c>
      <c r="O80" s="39">
        <f t="shared" si="8"/>
        <v>16.492999999999999</v>
      </c>
      <c r="P80" s="93">
        <f t="shared" si="9"/>
        <v>0.8012144765606023</v>
      </c>
      <c r="Q80" s="92">
        <f t="shared" si="10"/>
        <v>3430</v>
      </c>
      <c r="R80" s="95">
        <f t="shared" si="11"/>
        <v>3430</v>
      </c>
      <c r="S80" s="85"/>
      <c r="T80" s="80"/>
      <c r="U80" s="77"/>
      <c r="V80" s="80"/>
      <c r="W80" s="80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7"/>
    </row>
    <row r="81" spans="1:73" ht="18.75">
      <c r="A81" s="7" t="s">
        <v>110</v>
      </c>
      <c r="B81" s="89">
        <v>194</v>
      </c>
      <c r="C81" s="51">
        <v>913</v>
      </c>
      <c r="D81" s="51">
        <v>202.1</v>
      </c>
      <c r="E81" s="63">
        <v>268.5</v>
      </c>
      <c r="F81" s="63">
        <v>904.5</v>
      </c>
      <c r="G81" s="63">
        <v>86</v>
      </c>
      <c r="H81" s="64"/>
      <c r="I81" s="64"/>
      <c r="J81" s="109">
        <v>154</v>
      </c>
      <c r="K81" s="42">
        <v>34</v>
      </c>
      <c r="L81" s="42">
        <f>843.5+65.3</f>
        <v>908.8</v>
      </c>
      <c r="M81" s="123">
        <f t="shared" ref="M81:M83" si="14">ROUND(C81+D81+H81+J81+L81+(F81/2)+G81+(E81*0.9),1)</f>
        <v>2957.8</v>
      </c>
      <c r="N81" s="125">
        <f t="shared" si="13"/>
        <v>513.1</v>
      </c>
      <c r="O81" s="39">
        <f t="shared" si="8"/>
        <v>15.246</v>
      </c>
      <c r="P81" s="93">
        <f t="shared" si="9"/>
        <v>0.74063638571775559</v>
      </c>
      <c r="Q81" s="92">
        <f t="shared" si="10"/>
        <v>3470.9</v>
      </c>
      <c r="R81" s="95">
        <f t="shared" si="11"/>
        <v>3470.8999999999996</v>
      </c>
      <c r="S81" s="85"/>
      <c r="U81" s="77"/>
    </row>
    <row r="82" spans="1:73" ht="18.75">
      <c r="A82" s="7" t="s">
        <v>111</v>
      </c>
      <c r="B82" s="89">
        <v>191</v>
      </c>
      <c r="C82" s="51">
        <v>959.9</v>
      </c>
      <c r="D82" s="51">
        <v>212.5</v>
      </c>
      <c r="E82" s="63">
        <v>406</v>
      </c>
      <c r="F82" s="63">
        <v>908.1</v>
      </c>
      <c r="G82" s="63">
        <v>108.9</v>
      </c>
      <c r="H82" s="64"/>
      <c r="I82" s="64"/>
      <c r="J82" s="109">
        <v>154</v>
      </c>
      <c r="K82" s="42">
        <v>31.9</v>
      </c>
      <c r="L82" s="42">
        <f>923.5+71.6</f>
        <v>995.1</v>
      </c>
      <c r="M82" s="123">
        <f t="shared" si="14"/>
        <v>3249.9</v>
      </c>
      <c r="N82" s="125">
        <f t="shared" si="13"/>
        <v>526.6</v>
      </c>
      <c r="O82" s="39">
        <f t="shared" ref="O82:O145" si="15">ROUND(M82/B82,3)</f>
        <v>17.015000000000001</v>
      </c>
      <c r="P82" s="93">
        <f t="shared" ref="P82:P145" si="16">O82/20.585</f>
        <v>0.82657274714598006</v>
      </c>
      <c r="Q82" s="92">
        <f t="shared" ref="Q82:Q145" si="17">M82+N82</f>
        <v>3776.5</v>
      </c>
      <c r="R82" s="95">
        <f t="shared" si="11"/>
        <v>3776.4</v>
      </c>
      <c r="S82" s="85"/>
      <c r="U82" s="77"/>
    </row>
    <row r="83" spans="1:73" ht="18.75">
      <c r="A83" s="7" t="s">
        <v>112</v>
      </c>
      <c r="B83" s="89">
        <v>235</v>
      </c>
      <c r="C83" s="51">
        <v>1038.0999999999999</v>
      </c>
      <c r="D83" s="51">
        <v>229.8</v>
      </c>
      <c r="E83" s="63">
        <v>543.6</v>
      </c>
      <c r="F83" s="63">
        <v>520.29999999999995</v>
      </c>
      <c r="G83" s="63">
        <v>99.3</v>
      </c>
      <c r="H83" s="64"/>
      <c r="I83" s="64"/>
      <c r="J83" s="109">
        <v>154</v>
      </c>
      <c r="K83" s="42">
        <v>32</v>
      </c>
      <c r="L83" s="42">
        <f>950.7+73.7</f>
        <v>1024.4000000000001</v>
      </c>
      <c r="M83" s="123">
        <f t="shared" si="14"/>
        <v>3295</v>
      </c>
      <c r="N83" s="125">
        <f t="shared" si="13"/>
        <v>346.5</v>
      </c>
      <c r="O83" s="39">
        <f t="shared" si="15"/>
        <v>14.021000000000001</v>
      </c>
      <c r="P83" s="93">
        <f t="shared" si="16"/>
        <v>0.68112703424823906</v>
      </c>
      <c r="Q83" s="92">
        <f t="shared" si="17"/>
        <v>3641.5</v>
      </c>
      <c r="R83" s="95">
        <f t="shared" si="11"/>
        <v>3641.5000000000005</v>
      </c>
      <c r="S83" s="85"/>
      <c r="U83" s="77"/>
    </row>
    <row r="84" spans="1:73" ht="18.75">
      <c r="A84" s="7" t="s">
        <v>113</v>
      </c>
      <c r="B84" s="89">
        <v>157</v>
      </c>
      <c r="C84" s="51">
        <v>858.3</v>
      </c>
      <c r="D84" s="51">
        <v>190</v>
      </c>
      <c r="E84" s="63">
        <v>360.2</v>
      </c>
      <c r="F84" s="63">
        <v>437.5</v>
      </c>
      <c r="G84" s="63">
        <v>24.1</v>
      </c>
      <c r="H84" s="64"/>
      <c r="I84" s="64">
        <v>67.599999999999994</v>
      </c>
      <c r="J84" s="109">
        <v>150</v>
      </c>
      <c r="K84" s="42">
        <v>60.4</v>
      </c>
      <c r="L84" s="42">
        <f>665.4+51.6</f>
        <v>717</v>
      </c>
      <c r="M84" s="123">
        <f>ROUND(C84+D84+H84+J84+L84+(F84/2)+G84+(E84*0.9)+I84,1)</f>
        <v>2549.9</v>
      </c>
      <c r="N84" s="125">
        <f>ROUND(K84+(F84-(F84/2))+(E84*0.1),1)</f>
        <v>315.2</v>
      </c>
      <c r="O84" s="39">
        <f t="shared" si="15"/>
        <v>16.241</v>
      </c>
      <c r="P84" s="93">
        <f t="shared" si="16"/>
        <v>0.78897255282973033</v>
      </c>
      <c r="Q84" s="92">
        <f t="shared" si="17"/>
        <v>2865.1</v>
      </c>
      <c r="R84" s="95">
        <f>SUM(C84:L84)</f>
        <v>2865.1</v>
      </c>
      <c r="S84" s="85"/>
      <c r="U84" s="77"/>
    </row>
    <row r="85" spans="1:73" ht="18.75">
      <c r="A85" s="7" t="s">
        <v>114</v>
      </c>
      <c r="B85" s="89">
        <v>123</v>
      </c>
      <c r="C85" s="51">
        <v>772.3</v>
      </c>
      <c r="D85" s="51">
        <v>171</v>
      </c>
      <c r="E85" s="63">
        <v>216.1</v>
      </c>
      <c r="F85" s="63">
        <v>218.7</v>
      </c>
      <c r="G85" s="63">
        <v>33.299999999999997</v>
      </c>
      <c r="H85" s="64"/>
      <c r="I85" s="64"/>
      <c r="J85" s="109">
        <v>130</v>
      </c>
      <c r="K85" s="42">
        <v>17</v>
      </c>
      <c r="L85" s="42">
        <f>472.7+36.6</f>
        <v>509.3</v>
      </c>
      <c r="M85" s="123">
        <f t="shared" ref="M85:M116" si="18">ROUND(C85+D85+H85+J85+L85+(F85/2)+G85+(E85*0.9),1)</f>
        <v>1919.7</v>
      </c>
      <c r="N85" s="125">
        <f t="shared" si="13"/>
        <v>148</v>
      </c>
      <c r="O85" s="39">
        <f t="shared" si="15"/>
        <v>15.606999999999999</v>
      </c>
      <c r="P85" s="93">
        <f t="shared" si="16"/>
        <v>0.75817342725285397</v>
      </c>
      <c r="Q85" s="92">
        <f t="shared" si="17"/>
        <v>2067.6999999999998</v>
      </c>
      <c r="R85" s="95">
        <f t="shared" si="11"/>
        <v>2067.6999999999998</v>
      </c>
      <c r="S85" s="85"/>
      <c r="U85" s="77"/>
    </row>
    <row r="86" spans="1:73" ht="18.75">
      <c r="A86" s="7" t="s">
        <v>115</v>
      </c>
      <c r="B86" s="89">
        <v>225</v>
      </c>
      <c r="C86" s="6">
        <v>1038.0999999999999</v>
      </c>
      <c r="D86" s="110">
        <v>229.8</v>
      </c>
      <c r="E86" s="67">
        <v>379.9</v>
      </c>
      <c r="F86" s="64">
        <v>766.5</v>
      </c>
      <c r="G86" s="64">
        <v>79</v>
      </c>
      <c r="H86" s="64"/>
      <c r="I86" s="64"/>
      <c r="J86" s="109">
        <v>154</v>
      </c>
      <c r="K86" s="42">
        <v>36.700000000000003</v>
      </c>
      <c r="L86" s="42">
        <f>1118+86.6</f>
        <v>1204.5999999999999</v>
      </c>
      <c r="M86" s="123">
        <f t="shared" si="18"/>
        <v>3430.7</v>
      </c>
      <c r="N86" s="125">
        <f t="shared" si="13"/>
        <v>457.9</v>
      </c>
      <c r="O86" s="39">
        <f t="shared" si="15"/>
        <v>15.247999999999999</v>
      </c>
      <c r="P86" s="93">
        <f t="shared" si="16"/>
        <v>0.74073354384260381</v>
      </c>
      <c r="Q86" s="92">
        <f t="shared" si="17"/>
        <v>3888.6</v>
      </c>
      <c r="R86" s="95">
        <f t="shared" si="11"/>
        <v>3888.5999999999995</v>
      </c>
      <c r="S86" s="85"/>
      <c r="U86" s="77"/>
    </row>
    <row r="87" spans="1:73" s="107" customFormat="1" ht="18.75">
      <c r="A87" s="120">
        <v>6</v>
      </c>
      <c r="B87" s="106">
        <v>189</v>
      </c>
      <c r="C87" s="97">
        <v>1700.9</v>
      </c>
      <c r="D87" s="99">
        <v>376.6</v>
      </c>
      <c r="E87" s="68">
        <v>508.4</v>
      </c>
      <c r="F87" s="66">
        <v>1385.6</v>
      </c>
      <c r="G87" s="66">
        <v>165.6</v>
      </c>
      <c r="H87" s="66"/>
      <c r="I87" s="66"/>
      <c r="J87" s="98">
        <v>217</v>
      </c>
      <c r="K87" s="42">
        <v>62.6</v>
      </c>
      <c r="L87" s="44">
        <f>1487+115.1</f>
        <v>1602.1</v>
      </c>
      <c r="M87" s="123">
        <f t="shared" si="18"/>
        <v>5212.6000000000004</v>
      </c>
      <c r="N87" s="125">
        <f t="shared" si="13"/>
        <v>806.2</v>
      </c>
      <c r="O87" s="39">
        <f t="shared" si="15"/>
        <v>27.58</v>
      </c>
      <c r="P87" s="93">
        <f t="shared" si="16"/>
        <v>1.3398105416565458</v>
      </c>
      <c r="Q87" s="92">
        <f t="shared" si="17"/>
        <v>6018.8</v>
      </c>
      <c r="R87" s="95">
        <f t="shared" si="11"/>
        <v>6018.8000000000011</v>
      </c>
      <c r="S87" s="85"/>
      <c r="T87" s="80"/>
      <c r="U87" s="77"/>
      <c r="V87" s="80"/>
      <c r="W87" s="80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7"/>
      <c r="BR87" s="87"/>
      <c r="BS87" s="87"/>
      <c r="BT87" s="87"/>
      <c r="BU87" s="87"/>
    </row>
    <row r="88" spans="1:73" ht="18.75">
      <c r="A88" s="7" t="s">
        <v>116</v>
      </c>
      <c r="B88" s="89">
        <v>190</v>
      </c>
      <c r="C88" s="6">
        <v>881.7</v>
      </c>
      <c r="D88" s="110">
        <v>195.2</v>
      </c>
      <c r="E88" s="67">
        <v>471.5</v>
      </c>
      <c r="F88" s="64">
        <v>523.1</v>
      </c>
      <c r="G88" s="64">
        <v>66</v>
      </c>
      <c r="H88" s="64"/>
      <c r="I88" s="64"/>
      <c r="J88" s="109">
        <v>154</v>
      </c>
      <c r="K88" s="42">
        <v>25.3</v>
      </c>
      <c r="L88" s="42">
        <f>1012.5+78.4</f>
        <v>1090.9000000000001</v>
      </c>
      <c r="M88" s="123">
        <f t="shared" si="18"/>
        <v>3073.7</v>
      </c>
      <c r="N88" s="125">
        <f t="shared" si="13"/>
        <v>334</v>
      </c>
      <c r="O88" s="39">
        <f t="shared" si="15"/>
        <v>16.177</v>
      </c>
      <c r="P88" s="93">
        <f t="shared" si="16"/>
        <v>0.78586349283458823</v>
      </c>
      <c r="Q88" s="92">
        <f t="shared" si="17"/>
        <v>3407.7</v>
      </c>
      <c r="R88" s="95">
        <f t="shared" si="11"/>
        <v>3407.7000000000003</v>
      </c>
      <c r="S88" s="85"/>
      <c r="U88" s="77"/>
    </row>
    <row r="89" spans="1:73" ht="18.75">
      <c r="A89" s="7" t="s">
        <v>117</v>
      </c>
      <c r="B89" s="89">
        <v>170</v>
      </c>
      <c r="C89" s="6">
        <v>873.9</v>
      </c>
      <c r="D89" s="110">
        <v>193.5</v>
      </c>
      <c r="E89" s="67">
        <v>442</v>
      </c>
      <c r="F89" s="64">
        <v>346.9</v>
      </c>
      <c r="G89" s="64">
        <v>67.2</v>
      </c>
      <c r="H89" s="64"/>
      <c r="I89" s="64"/>
      <c r="J89" s="109">
        <v>154</v>
      </c>
      <c r="K89" s="42">
        <v>24.8</v>
      </c>
      <c r="L89" s="42">
        <f>756.3+58.6</f>
        <v>814.9</v>
      </c>
      <c r="M89" s="123">
        <f t="shared" si="18"/>
        <v>2674.8</v>
      </c>
      <c r="N89" s="125">
        <f t="shared" si="13"/>
        <v>242.5</v>
      </c>
      <c r="O89" s="39">
        <f t="shared" si="15"/>
        <v>15.734</v>
      </c>
      <c r="P89" s="93">
        <f t="shared" si="16"/>
        <v>0.76434296818071412</v>
      </c>
      <c r="Q89" s="92">
        <f t="shared" si="17"/>
        <v>2917.3</v>
      </c>
      <c r="R89" s="95">
        <f t="shared" si="11"/>
        <v>2917.2000000000003</v>
      </c>
      <c r="S89" s="85"/>
      <c r="U89" s="77"/>
    </row>
    <row r="90" spans="1:73" ht="18.75">
      <c r="A90" s="7" t="s">
        <v>118</v>
      </c>
      <c r="B90" s="89">
        <v>153</v>
      </c>
      <c r="C90" s="6">
        <v>670.7</v>
      </c>
      <c r="D90" s="110">
        <v>148.5</v>
      </c>
      <c r="E90" s="67">
        <v>278.3</v>
      </c>
      <c r="F90" s="64">
        <v>312.2</v>
      </c>
      <c r="G90" s="64">
        <v>32.5</v>
      </c>
      <c r="H90" s="64"/>
      <c r="I90" s="64"/>
      <c r="J90" s="109">
        <v>150</v>
      </c>
      <c r="K90" s="42">
        <v>34.9</v>
      </c>
      <c r="L90" s="42">
        <f>723.6+56</f>
        <v>779.6</v>
      </c>
      <c r="M90" s="123">
        <f t="shared" si="18"/>
        <v>2187.9</v>
      </c>
      <c r="N90" s="125">
        <f t="shared" si="13"/>
        <v>218.8</v>
      </c>
      <c r="O90" s="39">
        <f t="shared" si="15"/>
        <v>14.3</v>
      </c>
      <c r="P90" s="93">
        <f t="shared" si="16"/>
        <v>0.69468059266456161</v>
      </c>
      <c r="Q90" s="92">
        <f t="shared" si="17"/>
        <v>2406.7000000000003</v>
      </c>
      <c r="R90" s="95">
        <f t="shared" si="11"/>
        <v>2406.7000000000003</v>
      </c>
      <c r="S90" s="85"/>
      <c r="U90" s="77"/>
    </row>
    <row r="91" spans="1:73" ht="18.75">
      <c r="A91" s="7" t="s">
        <v>119</v>
      </c>
      <c r="B91" s="89">
        <v>235</v>
      </c>
      <c r="C91" s="6">
        <v>1038.0999999999999</v>
      </c>
      <c r="D91" s="110">
        <v>229.8</v>
      </c>
      <c r="E91" s="67">
        <v>239</v>
      </c>
      <c r="F91" s="64">
        <v>724.3</v>
      </c>
      <c r="G91" s="64">
        <v>109</v>
      </c>
      <c r="H91" s="64"/>
      <c r="I91" s="64"/>
      <c r="J91" s="109">
        <v>154</v>
      </c>
      <c r="K91" s="42">
        <v>34</v>
      </c>
      <c r="L91" s="42">
        <f>1101.6+85.3</f>
        <v>1186.8999999999999</v>
      </c>
      <c r="M91" s="123">
        <f t="shared" si="18"/>
        <v>3295.1</v>
      </c>
      <c r="N91" s="125">
        <f t="shared" si="13"/>
        <v>420.1</v>
      </c>
      <c r="O91" s="39">
        <f t="shared" si="15"/>
        <v>14.022</v>
      </c>
      <c r="P91" s="93">
        <f t="shared" si="16"/>
        <v>0.68117561331066312</v>
      </c>
      <c r="Q91" s="92">
        <f t="shared" si="17"/>
        <v>3715.2</v>
      </c>
      <c r="R91" s="95">
        <f t="shared" si="11"/>
        <v>3715.0999999999995</v>
      </c>
      <c r="S91" s="85"/>
      <c r="U91" s="77"/>
    </row>
    <row r="92" spans="1:73" s="107" customFormat="1" ht="18.75">
      <c r="A92" s="120">
        <v>50</v>
      </c>
      <c r="B92" s="106">
        <v>269</v>
      </c>
      <c r="C92" s="97">
        <v>1489.9</v>
      </c>
      <c r="D92" s="99">
        <v>329.9</v>
      </c>
      <c r="E92" s="68">
        <v>548.79999999999995</v>
      </c>
      <c r="F92" s="66">
        <v>780</v>
      </c>
      <c r="G92" s="66">
        <v>102.9</v>
      </c>
      <c r="H92" s="66">
        <v>27.6</v>
      </c>
      <c r="I92" s="66"/>
      <c r="J92" s="98">
        <v>203</v>
      </c>
      <c r="K92" s="42">
        <v>42.4</v>
      </c>
      <c r="L92" s="44">
        <f>1229+95.1</f>
        <v>1324.1</v>
      </c>
      <c r="M92" s="123">
        <f t="shared" si="18"/>
        <v>4361.3</v>
      </c>
      <c r="N92" s="125">
        <f t="shared" si="13"/>
        <v>487.3</v>
      </c>
      <c r="O92" s="39">
        <f t="shared" si="15"/>
        <v>16.213000000000001</v>
      </c>
      <c r="P92" s="93">
        <f t="shared" si="16"/>
        <v>0.78761233908185568</v>
      </c>
      <c r="Q92" s="92">
        <f t="shared" si="17"/>
        <v>4848.6000000000004</v>
      </c>
      <c r="R92" s="95">
        <f t="shared" si="11"/>
        <v>4848.6000000000004</v>
      </c>
      <c r="S92" s="85"/>
      <c r="T92" s="80"/>
      <c r="U92" s="77"/>
      <c r="V92" s="80"/>
      <c r="W92" s="80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7"/>
    </row>
    <row r="93" spans="1:73" ht="18.75">
      <c r="A93" s="7" t="s">
        <v>120</v>
      </c>
      <c r="B93" s="89">
        <v>191</v>
      </c>
      <c r="C93" s="6">
        <v>928.6</v>
      </c>
      <c r="D93" s="110">
        <v>205.6</v>
      </c>
      <c r="E93" s="67">
        <v>630.79999999999995</v>
      </c>
      <c r="F93" s="64">
        <v>381.6</v>
      </c>
      <c r="G93" s="64">
        <v>68.400000000000006</v>
      </c>
      <c r="H93" s="64"/>
      <c r="I93" s="64"/>
      <c r="J93" s="109">
        <v>154</v>
      </c>
      <c r="K93" s="42">
        <v>25.7</v>
      </c>
      <c r="L93" s="42">
        <f>874.4+67.8</f>
        <v>942.19999999999993</v>
      </c>
      <c r="M93" s="123">
        <f t="shared" si="18"/>
        <v>3057.3</v>
      </c>
      <c r="N93" s="125">
        <f t="shared" si="13"/>
        <v>279.60000000000002</v>
      </c>
      <c r="O93" s="39">
        <f t="shared" si="15"/>
        <v>16.007000000000001</v>
      </c>
      <c r="P93" s="93">
        <f t="shared" si="16"/>
        <v>0.7776050522224921</v>
      </c>
      <c r="Q93" s="92">
        <f t="shared" si="17"/>
        <v>3336.9</v>
      </c>
      <c r="R93" s="95">
        <f t="shared" ref="R93:R145" si="19">SUM(C93:L93)</f>
        <v>3336.8999999999996</v>
      </c>
      <c r="S93" s="85"/>
      <c r="U93" s="77"/>
    </row>
    <row r="94" spans="1:73" ht="18.75">
      <c r="A94" s="7" t="s">
        <v>121</v>
      </c>
      <c r="B94" s="89">
        <v>201</v>
      </c>
      <c r="C94" s="6">
        <v>1030.3</v>
      </c>
      <c r="D94" s="110">
        <v>228.1</v>
      </c>
      <c r="E94" s="67">
        <v>456</v>
      </c>
      <c r="F94" s="64">
        <v>312.2</v>
      </c>
      <c r="G94" s="64">
        <v>83</v>
      </c>
      <c r="H94" s="64"/>
      <c r="I94" s="64"/>
      <c r="J94" s="109">
        <v>154</v>
      </c>
      <c r="K94" s="42">
        <v>30.4</v>
      </c>
      <c r="L94" s="42">
        <f>952.6+73.7</f>
        <v>1026.3</v>
      </c>
      <c r="M94" s="123">
        <f t="shared" si="18"/>
        <v>3088.2</v>
      </c>
      <c r="N94" s="125">
        <f t="shared" si="13"/>
        <v>232.1</v>
      </c>
      <c r="O94" s="39">
        <f t="shared" si="15"/>
        <v>15.364000000000001</v>
      </c>
      <c r="P94" s="93">
        <f t="shared" si="16"/>
        <v>0.74636871508379887</v>
      </c>
      <c r="Q94" s="92">
        <f t="shared" si="17"/>
        <v>3320.2999999999997</v>
      </c>
      <c r="R94" s="95">
        <f t="shared" si="19"/>
        <v>3320.3</v>
      </c>
      <c r="S94" s="85"/>
      <c r="U94" s="77"/>
    </row>
    <row r="95" spans="1:73" s="107" customFormat="1" ht="18.75">
      <c r="A95" s="120">
        <v>91</v>
      </c>
      <c r="B95" s="106">
        <v>243</v>
      </c>
      <c r="C95" s="97">
        <v>1411.7</v>
      </c>
      <c r="D95" s="99">
        <v>312.60000000000002</v>
      </c>
      <c r="E95" s="68">
        <v>465</v>
      </c>
      <c r="F95" s="66">
        <f>709.1+91.9</f>
        <v>801</v>
      </c>
      <c r="G95" s="66">
        <v>72</v>
      </c>
      <c r="H95" s="66"/>
      <c r="I95" s="66"/>
      <c r="J95" s="98">
        <v>208</v>
      </c>
      <c r="K95" s="42">
        <v>52.1</v>
      </c>
      <c r="L95" s="44">
        <f>1196.2+92.5</f>
        <v>1288.7</v>
      </c>
      <c r="M95" s="123">
        <f t="shared" si="18"/>
        <v>4112</v>
      </c>
      <c r="N95" s="125">
        <f t="shared" si="13"/>
        <v>499.1</v>
      </c>
      <c r="O95" s="39">
        <f t="shared" si="15"/>
        <v>16.922000000000001</v>
      </c>
      <c r="P95" s="93">
        <f t="shared" si="16"/>
        <v>0.82205489434053924</v>
      </c>
      <c r="Q95" s="92">
        <f t="shared" si="17"/>
        <v>4611.1000000000004</v>
      </c>
      <c r="R95" s="95">
        <f t="shared" si="19"/>
        <v>4611.1000000000004</v>
      </c>
      <c r="S95" s="85"/>
      <c r="T95" s="80"/>
      <c r="U95" s="77"/>
      <c r="V95" s="80"/>
      <c r="W95" s="80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</row>
    <row r="96" spans="1:73" ht="18.75">
      <c r="A96" s="7" t="s">
        <v>122</v>
      </c>
      <c r="B96" s="89">
        <v>182</v>
      </c>
      <c r="C96" s="6">
        <v>873.9</v>
      </c>
      <c r="D96" s="110">
        <v>193.5</v>
      </c>
      <c r="E96" s="67">
        <v>350.4</v>
      </c>
      <c r="F96" s="64">
        <v>530</v>
      </c>
      <c r="G96" s="64">
        <v>138.6</v>
      </c>
      <c r="H96" s="64"/>
      <c r="I96" s="64"/>
      <c r="J96" s="109">
        <v>154</v>
      </c>
      <c r="K96" s="42">
        <v>45.6</v>
      </c>
      <c r="L96" s="42">
        <f>761.7+59</f>
        <v>820.7</v>
      </c>
      <c r="M96" s="123">
        <f t="shared" si="18"/>
        <v>2761.1</v>
      </c>
      <c r="N96" s="125">
        <f t="shared" si="13"/>
        <v>345.6</v>
      </c>
      <c r="O96" s="39">
        <f t="shared" si="15"/>
        <v>15.170999999999999</v>
      </c>
      <c r="P96" s="93">
        <f t="shared" si="16"/>
        <v>0.7369929560359485</v>
      </c>
      <c r="Q96" s="92">
        <f t="shared" si="17"/>
        <v>3106.7</v>
      </c>
      <c r="R96" s="95">
        <f t="shared" si="19"/>
        <v>3106.7</v>
      </c>
      <c r="S96" s="85"/>
      <c r="U96" s="77"/>
    </row>
    <row r="97" spans="1:73" ht="18.75">
      <c r="A97" s="7" t="s">
        <v>123</v>
      </c>
      <c r="B97" s="89">
        <v>495</v>
      </c>
      <c r="C97" s="6">
        <v>1810.4</v>
      </c>
      <c r="D97" s="110">
        <v>400.8</v>
      </c>
      <c r="E97" s="67">
        <v>723.7</v>
      </c>
      <c r="F97" s="64">
        <v>1812.6</v>
      </c>
      <c r="G97" s="64">
        <v>235.6</v>
      </c>
      <c r="H97" s="64"/>
      <c r="I97" s="64"/>
      <c r="J97" s="109">
        <v>259.60000000000002</v>
      </c>
      <c r="K97" s="42">
        <v>76.7</v>
      </c>
      <c r="L97" s="42">
        <f>2303.3+178.3</f>
        <v>2481.6000000000004</v>
      </c>
      <c r="M97" s="123">
        <f t="shared" si="18"/>
        <v>6745.6</v>
      </c>
      <c r="N97" s="125">
        <f t="shared" si="13"/>
        <v>1055.4000000000001</v>
      </c>
      <c r="O97" s="39">
        <f t="shared" si="15"/>
        <v>13.627000000000001</v>
      </c>
      <c r="P97" s="93">
        <f t="shared" si="16"/>
        <v>0.66198688365314551</v>
      </c>
      <c r="Q97" s="92">
        <f t="shared" si="17"/>
        <v>7801</v>
      </c>
      <c r="R97" s="95">
        <f t="shared" si="19"/>
        <v>7801.0000000000009</v>
      </c>
      <c r="S97" s="85"/>
      <c r="U97" s="77"/>
    </row>
    <row r="98" spans="1:73" ht="18.75">
      <c r="A98" s="7" t="s">
        <v>124</v>
      </c>
      <c r="B98" s="89">
        <v>185</v>
      </c>
      <c r="C98" s="6">
        <v>905.2</v>
      </c>
      <c r="D98" s="110">
        <v>200.4</v>
      </c>
      <c r="E98" s="67">
        <v>615.6</v>
      </c>
      <c r="F98" s="64">
        <v>468.3</v>
      </c>
      <c r="G98" s="64">
        <v>70.900000000000006</v>
      </c>
      <c r="H98" s="64"/>
      <c r="I98" s="64"/>
      <c r="J98" s="109">
        <v>154</v>
      </c>
      <c r="K98" s="42">
        <v>26.2</v>
      </c>
      <c r="L98" s="42">
        <f>790.7+61.3</f>
        <v>852</v>
      </c>
      <c r="M98" s="123">
        <f t="shared" si="18"/>
        <v>2970.7</v>
      </c>
      <c r="N98" s="125">
        <f t="shared" si="13"/>
        <v>321.89999999999998</v>
      </c>
      <c r="O98" s="39">
        <f t="shared" si="15"/>
        <v>16.058</v>
      </c>
      <c r="P98" s="93">
        <f t="shared" si="16"/>
        <v>0.78008258440612088</v>
      </c>
      <c r="Q98" s="92">
        <f t="shared" si="17"/>
        <v>3292.6</v>
      </c>
      <c r="R98" s="95">
        <f t="shared" si="19"/>
        <v>3292.6000000000004</v>
      </c>
      <c r="S98" s="85"/>
      <c r="U98" s="77"/>
    </row>
    <row r="99" spans="1:73" ht="18.75">
      <c r="A99" s="7" t="s">
        <v>125</v>
      </c>
      <c r="B99" s="89">
        <v>197</v>
      </c>
      <c r="C99" s="6">
        <v>952.1</v>
      </c>
      <c r="D99" s="110">
        <v>210.8</v>
      </c>
      <c r="E99" s="67">
        <v>523.9</v>
      </c>
      <c r="F99" s="64">
        <v>398.9</v>
      </c>
      <c r="G99" s="64">
        <v>70.900000000000006</v>
      </c>
      <c r="H99" s="64"/>
      <c r="I99" s="64"/>
      <c r="J99" s="109">
        <v>154</v>
      </c>
      <c r="K99" s="42">
        <v>25.2</v>
      </c>
      <c r="L99" s="42">
        <f>1032.5+80</f>
        <v>1112.5</v>
      </c>
      <c r="M99" s="123">
        <f t="shared" si="18"/>
        <v>3171.3</v>
      </c>
      <c r="N99" s="125">
        <f t="shared" si="13"/>
        <v>277</v>
      </c>
      <c r="O99" s="39">
        <f t="shared" si="15"/>
        <v>16.097999999999999</v>
      </c>
      <c r="P99" s="93">
        <f t="shared" si="16"/>
        <v>0.78202574690308468</v>
      </c>
      <c r="Q99" s="92">
        <f t="shared" si="17"/>
        <v>3448.3</v>
      </c>
      <c r="R99" s="95">
        <f t="shared" si="19"/>
        <v>3448.3</v>
      </c>
      <c r="S99" s="85"/>
      <c r="U99" s="77"/>
    </row>
    <row r="100" spans="1:73" ht="18.75">
      <c r="A100" s="7" t="s">
        <v>126</v>
      </c>
      <c r="B100" s="89">
        <v>417</v>
      </c>
      <c r="C100" s="6">
        <v>1724.4</v>
      </c>
      <c r="D100" s="110">
        <v>381.8</v>
      </c>
      <c r="E100" s="67">
        <v>607.5</v>
      </c>
      <c r="F100" s="64">
        <v>1419</v>
      </c>
      <c r="G100" s="64">
        <v>162.5</v>
      </c>
      <c r="H100" s="64"/>
      <c r="I100" s="64"/>
      <c r="J100" s="109">
        <v>239</v>
      </c>
      <c r="K100" s="42">
        <v>27.6</v>
      </c>
      <c r="L100" s="42">
        <f>1961.5+151.9</f>
        <v>2113.4</v>
      </c>
      <c r="M100" s="123">
        <f t="shared" si="18"/>
        <v>5877.4</v>
      </c>
      <c r="N100" s="125">
        <f t="shared" si="13"/>
        <v>797.9</v>
      </c>
      <c r="O100" s="39">
        <f t="shared" si="15"/>
        <v>14.093999999999999</v>
      </c>
      <c r="P100" s="93">
        <f t="shared" si="16"/>
        <v>0.68467330580519792</v>
      </c>
      <c r="Q100" s="92">
        <f t="shared" si="17"/>
        <v>6675.2999999999993</v>
      </c>
      <c r="R100" s="95">
        <f t="shared" si="19"/>
        <v>6675.2000000000007</v>
      </c>
      <c r="S100" s="85"/>
      <c r="U100" s="77"/>
    </row>
    <row r="101" spans="1:73" ht="18.75">
      <c r="A101" s="7" t="s">
        <v>127</v>
      </c>
      <c r="B101" s="89">
        <v>286</v>
      </c>
      <c r="C101" s="6">
        <v>1599.3</v>
      </c>
      <c r="D101" s="110">
        <v>354.1</v>
      </c>
      <c r="E101" s="67">
        <v>632.29999999999995</v>
      </c>
      <c r="F101" s="64">
        <v>640.79999999999995</v>
      </c>
      <c r="G101" s="64">
        <v>98.1</v>
      </c>
      <c r="H101" s="64"/>
      <c r="I101" s="64"/>
      <c r="J101" s="109">
        <v>203</v>
      </c>
      <c r="K101" s="42">
        <v>32.9</v>
      </c>
      <c r="L101" s="42">
        <f>1343.5+104</f>
        <v>1447.5</v>
      </c>
      <c r="M101" s="123">
        <f t="shared" si="18"/>
        <v>4591.5</v>
      </c>
      <c r="N101" s="125">
        <f t="shared" si="13"/>
        <v>416.5</v>
      </c>
      <c r="O101" s="39">
        <f t="shared" si="15"/>
        <v>16.053999999999998</v>
      </c>
      <c r="P101" s="93">
        <f t="shared" si="16"/>
        <v>0.77988826815642442</v>
      </c>
      <c r="Q101" s="92">
        <f t="shared" si="17"/>
        <v>5008</v>
      </c>
      <c r="R101" s="95">
        <f t="shared" si="19"/>
        <v>5008</v>
      </c>
      <c r="S101" s="85"/>
      <c r="U101" s="77"/>
    </row>
    <row r="102" spans="1:73" ht="18.75">
      <c r="A102" s="7" t="s">
        <v>128</v>
      </c>
      <c r="B102" s="89">
        <v>223</v>
      </c>
      <c r="C102" s="6">
        <v>991.2</v>
      </c>
      <c r="D102" s="110">
        <v>219.5</v>
      </c>
      <c r="E102" s="67">
        <v>419.1</v>
      </c>
      <c r="F102" s="64">
        <v>890.3</v>
      </c>
      <c r="G102" s="64">
        <v>71.2</v>
      </c>
      <c r="H102" s="64"/>
      <c r="I102" s="64"/>
      <c r="J102" s="109">
        <v>154</v>
      </c>
      <c r="K102" s="42">
        <v>49</v>
      </c>
      <c r="L102" s="42">
        <f>1208.9+93.6</f>
        <v>1302.5</v>
      </c>
      <c r="M102" s="123">
        <f t="shared" si="18"/>
        <v>3560.7</v>
      </c>
      <c r="N102" s="125">
        <f t="shared" si="13"/>
        <v>536.1</v>
      </c>
      <c r="O102" s="39">
        <f t="shared" si="15"/>
        <v>15.967000000000001</v>
      </c>
      <c r="P102" s="93">
        <f t="shared" si="16"/>
        <v>0.7756618897255283</v>
      </c>
      <c r="Q102" s="92">
        <f t="shared" si="17"/>
        <v>4096.8</v>
      </c>
      <c r="R102" s="95">
        <f t="shared" si="19"/>
        <v>4096.8</v>
      </c>
      <c r="S102" s="85"/>
      <c r="U102" s="77"/>
    </row>
    <row r="103" spans="1:73" ht="18.75">
      <c r="A103" s="7" t="s">
        <v>129</v>
      </c>
      <c r="B103" s="89">
        <v>113</v>
      </c>
      <c r="C103" s="42">
        <v>741</v>
      </c>
      <c r="D103" s="42">
        <v>164.1</v>
      </c>
      <c r="E103" s="67">
        <v>393</v>
      </c>
      <c r="F103" s="64">
        <v>433.7</v>
      </c>
      <c r="G103" s="64">
        <v>74.599999999999994</v>
      </c>
      <c r="H103" s="64"/>
      <c r="I103" s="64"/>
      <c r="J103" s="109">
        <v>130</v>
      </c>
      <c r="K103" s="42">
        <v>27</v>
      </c>
      <c r="L103" s="42">
        <f>485.4+37.6</f>
        <v>523</v>
      </c>
      <c r="M103" s="123">
        <f t="shared" si="18"/>
        <v>2203.3000000000002</v>
      </c>
      <c r="N103" s="125">
        <f t="shared" si="13"/>
        <v>283.2</v>
      </c>
      <c r="O103" s="39">
        <f t="shared" si="15"/>
        <v>19.498000000000001</v>
      </c>
      <c r="P103" s="93">
        <f t="shared" si="16"/>
        <v>0.9471945591450085</v>
      </c>
      <c r="Q103" s="92">
        <f t="shared" si="17"/>
        <v>2486.5</v>
      </c>
      <c r="R103" s="95">
        <f t="shared" si="19"/>
        <v>2486.3999999999996</v>
      </c>
      <c r="S103" s="85"/>
      <c r="U103" s="77"/>
    </row>
    <row r="104" spans="1:73" ht="18.75">
      <c r="A104" s="7" t="s">
        <v>130</v>
      </c>
      <c r="B104" s="89">
        <v>358</v>
      </c>
      <c r="C104" s="42">
        <v>1358.6</v>
      </c>
      <c r="D104" s="42">
        <v>300.8</v>
      </c>
      <c r="E104" s="67">
        <v>609</v>
      </c>
      <c r="F104" s="64">
        <f>1131.3+139.7</f>
        <v>1271</v>
      </c>
      <c r="G104" s="64">
        <v>182.4</v>
      </c>
      <c r="H104" s="64"/>
      <c r="I104" s="64"/>
      <c r="J104" s="109">
        <v>199</v>
      </c>
      <c r="K104" s="42">
        <v>50</v>
      </c>
      <c r="L104" s="42">
        <f>1577.9+122.2</f>
        <v>1700.1000000000001</v>
      </c>
      <c r="M104" s="123">
        <f t="shared" si="18"/>
        <v>4924.5</v>
      </c>
      <c r="N104" s="125">
        <f t="shared" si="13"/>
        <v>746.4</v>
      </c>
      <c r="O104" s="39">
        <f t="shared" si="15"/>
        <v>13.756</v>
      </c>
      <c r="P104" s="93">
        <f t="shared" si="16"/>
        <v>0.66825358270585378</v>
      </c>
      <c r="Q104" s="92">
        <f t="shared" si="17"/>
        <v>5670.9</v>
      </c>
      <c r="R104" s="95">
        <f t="shared" si="19"/>
        <v>5670.9</v>
      </c>
      <c r="S104" s="85"/>
      <c r="U104" s="77"/>
    </row>
    <row r="105" spans="1:73" ht="18.75">
      <c r="A105" s="7" t="s">
        <v>131</v>
      </c>
      <c r="B105" s="89">
        <v>488</v>
      </c>
      <c r="C105" s="42">
        <v>1600.9</v>
      </c>
      <c r="D105" s="42">
        <v>354.5</v>
      </c>
      <c r="E105" s="67">
        <v>886.9</v>
      </c>
      <c r="F105" s="64">
        <f>1854.2+253.6</f>
        <v>2107.8000000000002</v>
      </c>
      <c r="G105" s="64">
        <v>361.4</v>
      </c>
      <c r="H105" s="64"/>
      <c r="I105" s="64"/>
      <c r="J105" s="109">
        <v>240</v>
      </c>
      <c r="K105" s="42">
        <v>78.7</v>
      </c>
      <c r="L105" s="42">
        <f>2176.1+168.5</f>
        <v>2344.6</v>
      </c>
      <c r="M105" s="123">
        <f t="shared" si="18"/>
        <v>6753.5</v>
      </c>
      <c r="N105" s="125">
        <f t="shared" si="13"/>
        <v>1221.3</v>
      </c>
      <c r="O105" s="39">
        <f t="shared" si="15"/>
        <v>13.839</v>
      </c>
      <c r="P105" s="93">
        <f t="shared" si="16"/>
        <v>0.67228564488705367</v>
      </c>
      <c r="Q105" s="92">
        <f t="shared" si="17"/>
        <v>7974.8</v>
      </c>
      <c r="R105" s="95">
        <f t="shared" si="19"/>
        <v>7974.7999999999993</v>
      </c>
      <c r="S105" s="85"/>
      <c r="U105" s="77"/>
    </row>
    <row r="106" spans="1:73" s="107" customFormat="1" ht="18.75">
      <c r="A106" s="120">
        <v>16</v>
      </c>
      <c r="B106" s="106">
        <v>327</v>
      </c>
      <c r="C106" s="42">
        <v>1171</v>
      </c>
      <c r="D106" s="42">
        <v>259.3</v>
      </c>
      <c r="E106" s="68">
        <v>505.5</v>
      </c>
      <c r="F106" s="66">
        <f>1157.1+149.4</f>
        <v>1306.5</v>
      </c>
      <c r="G106" s="66">
        <v>119.7</v>
      </c>
      <c r="H106" s="66"/>
      <c r="I106" s="66"/>
      <c r="J106" s="98">
        <v>177</v>
      </c>
      <c r="K106" s="42">
        <v>57.4</v>
      </c>
      <c r="L106" s="44">
        <f>1659.8+128.5</f>
        <v>1788.3</v>
      </c>
      <c r="M106" s="123">
        <f t="shared" si="18"/>
        <v>4623.5</v>
      </c>
      <c r="N106" s="125">
        <f t="shared" si="13"/>
        <v>761.2</v>
      </c>
      <c r="O106" s="39">
        <f t="shared" si="15"/>
        <v>14.138999999999999</v>
      </c>
      <c r="P106" s="93">
        <f t="shared" si="16"/>
        <v>0.68685936361428224</v>
      </c>
      <c r="Q106" s="92">
        <f t="shared" si="17"/>
        <v>5384.7</v>
      </c>
      <c r="R106" s="95">
        <f t="shared" si="19"/>
        <v>5384.7</v>
      </c>
      <c r="S106" s="85"/>
      <c r="T106" s="80"/>
      <c r="U106" s="77"/>
      <c r="V106" s="80"/>
      <c r="W106" s="80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7"/>
      <c r="BR106" s="87"/>
      <c r="BS106" s="87"/>
      <c r="BT106" s="87"/>
      <c r="BU106" s="87"/>
    </row>
    <row r="107" spans="1:73" ht="18.75">
      <c r="A107" s="7" t="s">
        <v>132</v>
      </c>
      <c r="B107" s="89">
        <v>365</v>
      </c>
      <c r="C107" s="42">
        <v>1311.7</v>
      </c>
      <c r="D107" s="42">
        <v>290.39999999999998</v>
      </c>
      <c r="E107" s="67">
        <v>492.8</v>
      </c>
      <c r="F107" s="64">
        <f>961.1+116.3</f>
        <v>1077.4000000000001</v>
      </c>
      <c r="G107" s="64">
        <v>231.9</v>
      </c>
      <c r="H107" s="64"/>
      <c r="I107" s="64"/>
      <c r="J107" s="109">
        <v>199</v>
      </c>
      <c r="K107" s="42">
        <v>52.1</v>
      </c>
      <c r="L107" s="42">
        <f>1719.8+133.1</f>
        <v>1852.8999999999999</v>
      </c>
      <c r="M107" s="123">
        <f t="shared" si="18"/>
        <v>4868.1000000000004</v>
      </c>
      <c r="N107" s="125">
        <f t="shared" si="13"/>
        <v>640.1</v>
      </c>
      <c r="O107" s="39">
        <f t="shared" si="15"/>
        <v>13.337</v>
      </c>
      <c r="P107" s="93">
        <f t="shared" si="16"/>
        <v>0.64789895555015786</v>
      </c>
      <c r="Q107" s="92">
        <f t="shared" si="17"/>
        <v>5508.2000000000007</v>
      </c>
      <c r="R107" s="95">
        <f t="shared" si="19"/>
        <v>5508.2</v>
      </c>
      <c r="S107" s="85"/>
      <c r="U107" s="77"/>
    </row>
    <row r="108" spans="1:73" ht="18.75">
      <c r="A108" s="7" t="s">
        <v>133</v>
      </c>
      <c r="B108" s="89">
        <v>393</v>
      </c>
      <c r="C108" s="42">
        <v>1288.2</v>
      </c>
      <c r="D108" s="42">
        <v>285.2</v>
      </c>
      <c r="E108" s="67">
        <v>583.5</v>
      </c>
      <c r="F108" s="64">
        <f>1191+167.1</f>
        <v>1358.1</v>
      </c>
      <c r="G108" s="64">
        <v>184.3</v>
      </c>
      <c r="H108" s="64"/>
      <c r="I108" s="64"/>
      <c r="J108" s="109">
        <v>199</v>
      </c>
      <c r="K108" s="42">
        <v>63.5</v>
      </c>
      <c r="L108" s="42">
        <f>1687.1+130.7</f>
        <v>1817.8</v>
      </c>
      <c r="M108" s="123">
        <f t="shared" si="18"/>
        <v>4978.7</v>
      </c>
      <c r="N108" s="125">
        <f t="shared" si="13"/>
        <v>800.9</v>
      </c>
      <c r="O108" s="39">
        <f t="shared" si="15"/>
        <v>12.667999999999999</v>
      </c>
      <c r="P108" s="93">
        <f t="shared" si="16"/>
        <v>0.6153995627884381</v>
      </c>
      <c r="Q108" s="92">
        <f t="shared" si="17"/>
        <v>5779.5999999999995</v>
      </c>
      <c r="R108" s="95">
        <f t="shared" si="19"/>
        <v>5779.6</v>
      </c>
      <c r="S108" s="85"/>
      <c r="U108" s="77"/>
    </row>
    <row r="109" spans="1:73" s="107" customFormat="1" ht="18.75">
      <c r="A109" s="120">
        <v>84</v>
      </c>
      <c r="B109" s="106">
        <v>100</v>
      </c>
      <c r="C109" s="42">
        <v>834.8</v>
      </c>
      <c r="D109" s="42">
        <v>184.8</v>
      </c>
      <c r="E109" s="68">
        <v>404.1</v>
      </c>
      <c r="F109" s="66">
        <v>312.2</v>
      </c>
      <c r="G109" s="66">
        <v>78.900000000000006</v>
      </c>
      <c r="H109" s="66"/>
      <c r="I109" s="66"/>
      <c r="J109" s="98">
        <v>154</v>
      </c>
      <c r="K109" s="42">
        <v>31.6</v>
      </c>
      <c r="L109" s="44">
        <f>698.1+54</f>
        <v>752.1</v>
      </c>
      <c r="M109" s="123">
        <f t="shared" si="18"/>
        <v>2524.4</v>
      </c>
      <c r="N109" s="125">
        <f t="shared" si="13"/>
        <v>228.1</v>
      </c>
      <c r="O109" s="39">
        <f t="shared" si="15"/>
        <v>25.244</v>
      </c>
      <c r="P109" s="93">
        <f t="shared" si="16"/>
        <v>1.2263298518338595</v>
      </c>
      <c r="Q109" s="92">
        <f t="shared" si="17"/>
        <v>2752.5</v>
      </c>
      <c r="R109" s="95">
        <f t="shared" si="19"/>
        <v>2752.5</v>
      </c>
      <c r="S109" s="85"/>
      <c r="T109" s="80"/>
      <c r="U109" s="77"/>
      <c r="V109" s="80"/>
      <c r="W109" s="80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</row>
    <row r="110" spans="1:73" s="107" customFormat="1" ht="18.75">
      <c r="A110" s="120">
        <v>94</v>
      </c>
      <c r="B110" s="106">
        <v>381</v>
      </c>
      <c r="C110" s="42">
        <v>1546.2</v>
      </c>
      <c r="D110" s="42">
        <v>342.3</v>
      </c>
      <c r="E110" s="68">
        <v>687.7</v>
      </c>
      <c r="F110" s="66">
        <f>1631.5+223.2</f>
        <v>1854.7</v>
      </c>
      <c r="G110" s="66">
        <v>315.10000000000002</v>
      </c>
      <c r="H110" s="66"/>
      <c r="I110" s="66"/>
      <c r="J110" s="98">
        <v>219</v>
      </c>
      <c r="K110" s="42">
        <v>86.6</v>
      </c>
      <c r="L110" s="44">
        <f>1783.4+138.2</f>
        <v>1921.6000000000001</v>
      </c>
      <c r="M110" s="123">
        <f t="shared" si="18"/>
        <v>5890.5</v>
      </c>
      <c r="N110" s="125">
        <f t="shared" si="13"/>
        <v>1082.7</v>
      </c>
      <c r="O110" s="39">
        <f t="shared" si="15"/>
        <v>15.461</v>
      </c>
      <c r="P110" s="93">
        <f t="shared" si="16"/>
        <v>0.75108088413893614</v>
      </c>
      <c r="Q110" s="92">
        <f t="shared" si="17"/>
        <v>6973.2</v>
      </c>
      <c r="R110" s="95">
        <f t="shared" si="19"/>
        <v>6973.2000000000007</v>
      </c>
      <c r="S110" s="85"/>
      <c r="T110" s="80"/>
      <c r="U110" s="77"/>
      <c r="V110" s="80"/>
      <c r="W110" s="80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  <c r="BU110" s="87"/>
    </row>
    <row r="111" spans="1:73" s="107" customFormat="1" ht="18.75">
      <c r="A111" s="120">
        <v>101</v>
      </c>
      <c r="B111" s="106">
        <v>230</v>
      </c>
      <c r="C111" s="62">
        <v>1700.9</v>
      </c>
      <c r="D111" s="42">
        <v>376.6</v>
      </c>
      <c r="E111" s="68">
        <v>705.8</v>
      </c>
      <c r="F111" s="66">
        <f>1750.8+98.9</f>
        <v>1849.7</v>
      </c>
      <c r="G111" s="66">
        <v>174.2</v>
      </c>
      <c r="H111" s="66"/>
      <c r="I111" s="66"/>
      <c r="J111" s="98">
        <v>209</v>
      </c>
      <c r="K111" s="42">
        <v>34.299999999999997</v>
      </c>
      <c r="L111" s="44">
        <f>1850.6+143.3</f>
        <v>1993.8999999999999</v>
      </c>
      <c r="M111" s="123">
        <f t="shared" si="18"/>
        <v>6014.7</v>
      </c>
      <c r="N111" s="125">
        <f t="shared" si="13"/>
        <v>1029.7</v>
      </c>
      <c r="O111" s="39">
        <f t="shared" si="15"/>
        <v>26.151</v>
      </c>
      <c r="P111" s="93">
        <f t="shared" si="16"/>
        <v>1.270391061452514</v>
      </c>
      <c r="Q111" s="92">
        <f t="shared" si="17"/>
        <v>7044.4</v>
      </c>
      <c r="R111" s="95">
        <f t="shared" si="19"/>
        <v>7044.4</v>
      </c>
      <c r="S111" s="85"/>
      <c r="T111" s="80"/>
      <c r="U111" s="77"/>
      <c r="V111" s="80"/>
      <c r="W111" s="80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</row>
    <row r="112" spans="1:73" ht="18.75">
      <c r="A112" s="7" t="s">
        <v>134</v>
      </c>
      <c r="B112" s="89">
        <v>192</v>
      </c>
      <c r="C112" s="62">
        <v>952.1</v>
      </c>
      <c r="D112" s="42">
        <v>210.8</v>
      </c>
      <c r="E112" s="67">
        <v>442.6</v>
      </c>
      <c r="F112" s="64">
        <v>607.1</v>
      </c>
      <c r="G112" s="64">
        <v>95.4</v>
      </c>
      <c r="H112" s="64"/>
      <c r="I112" s="64"/>
      <c r="J112" s="109">
        <v>154</v>
      </c>
      <c r="K112" s="42">
        <v>33.700000000000003</v>
      </c>
      <c r="L112" s="42">
        <f>1034.4+80.1</f>
        <v>1114.5</v>
      </c>
      <c r="M112" s="123">
        <f t="shared" si="18"/>
        <v>3228.7</v>
      </c>
      <c r="N112" s="125">
        <f t="shared" si="13"/>
        <v>381.5</v>
      </c>
      <c r="O112" s="39">
        <f t="shared" si="15"/>
        <v>16.815999999999999</v>
      </c>
      <c r="P112" s="93">
        <f t="shared" si="16"/>
        <v>0.816905513723585</v>
      </c>
      <c r="Q112" s="92">
        <f t="shared" si="17"/>
        <v>3610.2</v>
      </c>
      <c r="R112" s="95">
        <f t="shared" si="19"/>
        <v>3610.2</v>
      </c>
      <c r="S112" s="85"/>
      <c r="U112" s="77"/>
    </row>
    <row r="113" spans="1:73" ht="18.75">
      <c r="A113" s="7" t="s">
        <v>135</v>
      </c>
      <c r="B113" s="89">
        <v>159</v>
      </c>
      <c r="C113" s="62">
        <v>866.1</v>
      </c>
      <c r="D113" s="42">
        <v>191.8</v>
      </c>
      <c r="E113" s="67">
        <v>425.7</v>
      </c>
      <c r="F113" s="64">
        <v>350.3</v>
      </c>
      <c r="G113" s="64">
        <v>71</v>
      </c>
      <c r="H113" s="64"/>
      <c r="I113" s="64"/>
      <c r="J113" s="109">
        <v>150</v>
      </c>
      <c r="K113" s="42">
        <v>25.6</v>
      </c>
      <c r="L113" s="42">
        <f>838.1+64.9</f>
        <v>903</v>
      </c>
      <c r="M113" s="123">
        <f t="shared" si="18"/>
        <v>2740.2</v>
      </c>
      <c r="N113" s="125">
        <f t="shared" si="13"/>
        <v>243.3</v>
      </c>
      <c r="O113" s="39">
        <f t="shared" si="15"/>
        <v>17.234000000000002</v>
      </c>
      <c r="P113" s="93">
        <f t="shared" si="16"/>
        <v>0.83721156181685696</v>
      </c>
      <c r="Q113" s="92">
        <f t="shared" si="17"/>
        <v>2983.5</v>
      </c>
      <c r="R113" s="95">
        <f t="shared" si="19"/>
        <v>2983.5</v>
      </c>
      <c r="S113" s="85"/>
      <c r="U113" s="77"/>
    </row>
    <row r="114" spans="1:73" s="107" customFormat="1" ht="18.75">
      <c r="A114" s="120">
        <v>148</v>
      </c>
      <c r="B114" s="106">
        <v>198</v>
      </c>
      <c r="C114" s="62">
        <v>1489.9</v>
      </c>
      <c r="D114" s="42">
        <v>329.9</v>
      </c>
      <c r="E114" s="68">
        <v>627</v>
      </c>
      <c r="F114" s="66">
        <v>711.2</v>
      </c>
      <c r="G114" s="66">
        <v>112.2</v>
      </c>
      <c r="H114" s="66"/>
      <c r="I114" s="66"/>
      <c r="J114" s="98">
        <v>217</v>
      </c>
      <c r="K114" s="42">
        <v>60</v>
      </c>
      <c r="L114" s="44">
        <f>1045.3+81</f>
        <v>1126.3</v>
      </c>
      <c r="M114" s="123">
        <f t="shared" si="18"/>
        <v>4195.2</v>
      </c>
      <c r="N114" s="125">
        <f t="shared" si="13"/>
        <v>478.3</v>
      </c>
      <c r="O114" s="39">
        <f t="shared" si="15"/>
        <v>21.187999999999999</v>
      </c>
      <c r="P114" s="93">
        <f t="shared" si="16"/>
        <v>1.0292931746417293</v>
      </c>
      <c r="Q114" s="92">
        <f t="shared" si="17"/>
        <v>4673.5</v>
      </c>
      <c r="R114" s="95">
        <f t="shared" si="19"/>
        <v>4673.5</v>
      </c>
      <c r="S114" s="85"/>
      <c r="T114" s="80"/>
      <c r="U114" s="77"/>
      <c r="V114" s="80"/>
      <c r="W114" s="80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</row>
    <row r="115" spans="1:73" ht="18.75">
      <c r="A115" s="7" t="s">
        <v>136</v>
      </c>
      <c r="B115" s="89">
        <v>325</v>
      </c>
      <c r="C115" s="62">
        <v>1256.9000000000001</v>
      </c>
      <c r="D115" s="42">
        <v>278.3</v>
      </c>
      <c r="E115" s="67">
        <v>406</v>
      </c>
      <c r="F115" s="64">
        <f>740.7+95.1</f>
        <v>835.80000000000007</v>
      </c>
      <c r="G115" s="64">
        <v>105.9</v>
      </c>
      <c r="H115" s="64"/>
      <c r="I115" s="64"/>
      <c r="J115" s="109">
        <v>177</v>
      </c>
      <c r="K115" s="42">
        <v>57.3</v>
      </c>
      <c r="L115" s="42">
        <f>1327.1+102.8</f>
        <v>1429.8999999999999</v>
      </c>
      <c r="M115" s="123">
        <f t="shared" si="18"/>
        <v>4031.3</v>
      </c>
      <c r="N115" s="125">
        <f t="shared" si="13"/>
        <v>515.79999999999995</v>
      </c>
      <c r="O115" s="39">
        <f t="shared" si="15"/>
        <v>12.404</v>
      </c>
      <c r="P115" s="93">
        <f t="shared" si="16"/>
        <v>0.60257469030847699</v>
      </c>
      <c r="Q115" s="92">
        <f t="shared" si="17"/>
        <v>4547.1000000000004</v>
      </c>
      <c r="R115" s="95">
        <f t="shared" si="19"/>
        <v>4547.1000000000004</v>
      </c>
      <c r="S115" s="85"/>
      <c r="U115" s="77"/>
    </row>
    <row r="116" spans="1:73" ht="18.75">
      <c r="A116" s="7" t="s">
        <v>137</v>
      </c>
      <c r="B116" s="89">
        <v>353</v>
      </c>
      <c r="C116" s="62">
        <v>1335.1</v>
      </c>
      <c r="D116" s="42">
        <v>295.60000000000002</v>
      </c>
      <c r="E116" s="67">
        <v>545.70000000000005</v>
      </c>
      <c r="F116" s="64">
        <f>1145.2+145.7</f>
        <v>1290.9000000000001</v>
      </c>
      <c r="G116" s="64">
        <v>220</v>
      </c>
      <c r="H116" s="64"/>
      <c r="I116" s="64"/>
      <c r="J116" s="109">
        <v>199</v>
      </c>
      <c r="K116" s="42">
        <v>201.9</v>
      </c>
      <c r="L116" s="42">
        <f>1543.3+119.5</f>
        <v>1662.8</v>
      </c>
      <c r="M116" s="123">
        <f t="shared" si="18"/>
        <v>4849.1000000000004</v>
      </c>
      <c r="N116" s="125">
        <f t="shared" si="13"/>
        <v>901.9</v>
      </c>
      <c r="O116" s="39">
        <f t="shared" si="15"/>
        <v>13.737</v>
      </c>
      <c r="P116" s="93">
        <f t="shared" si="16"/>
        <v>0.66733058051979599</v>
      </c>
      <c r="Q116" s="92">
        <f t="shared" si="17"/>
        <v>5751</v>
      </c>
      <c r="R116" s="95">
        <f t="shared" si="19"/>
        <v>5751</v>
      </c>
      <c r="S116" s="85"/>
      <c r="U116" s="77"/>
    </row>
    <row r="117" spans="1:73" ht="18.75">
      <c r="A117" s="7" t="s">
        <v>138</v>
      </c>
      <c r="B117" s="89">
        <v>146</v>
      </c>
      <c r="C117" s="62">
        <v>866.1</v>
      </c>
      <c r="D117" s="42">
        <v>191.8</v>
      </c>
      <c r="E117" s="67">
        <v>288.2</v>
      </c>
      <c r="F117" s="64">
        <v>747.8</v>
      </c>
      <c r="G117" s="64">
        <v>61.3</v>
      </c>
      <c r="H117" s="64"/>
      <c r="I117" s="64"/>
      <c r="J117" s="109">
        <v>150</v>
      </c>
      <c r="K117" s="42">
        <v>28.8</v>
      </c>
      <c r="L117" s="42">
        <f>692.6+53.6</f>
        <v>746.2</v>
      </c>
      <c r="M117" s="123">
        <f t="shared" ref="M117:M147" si="20">ROUND(C117+D117+H117+J117+L117+(F117/2)+G117+(E117*0.9),1)</f>
        <v>2648.7</v>
      </c>
      <c r="N117" s="125">
        <f t="shared" si="13"/>
        <v>431.5</v>
      </c>
      <c r="O117" s="39">
        <f t="shared" si="15"/>
        <v>18.141999999999999</v>
      </c>
      <c r="P117" s="93">
        <f t="shared" si="16"/>
        <v>0.88132135049793536</v>
      </c>
      <c r="Q117" s="92">
        <f t="shared" si="17"/>
        <v>3080.2</v>
      </c>
      <c r="R117" s="95">
        <f t="shared" si="19"/>
        <v>3080.2000000000007</v>
      </c>
      <c r="S117" s="85"/>
      <c r="U117" s="77"/>
    </row>
    <row r="118" spans="1:73" ht="18.75">
      <c r="A118" s="7" t="s">
        <v>139</v>
      </c>
      <c r="B118" s="89">
        <v>399</v>
      </c>
      <c r="C118" s="62">
        <v>1358.6</v>
      </c>
      <c r="D118" s="42">
        <v>300.8</v>
      </c>
      <c r="E118" s="67">
        <v>589.4</v>
      </c>
      <c r="F118" s="64">
        <f>1299.6+169</f>
        <v>1468.6</v>
      </c>
      <c r="G118" s="64">
        <v>183.9</v>
      </c>
      <c r="H118" s="64"/>
      <c r="I118" s="64"/>
      <c r="J118" s="109">
        <v>199</v>
      </c>
      <c r="K118" s="42">
        <v>44.9</v>
      </c>
      <c r="L118" s="42">
        <f>1621.6+125.6</f>
        <v>1747.1999999999998</v>
      </c>
      <c r="M118" s="123">
        <f t="shared" si="20"/>
        <v>5054.3</v>
      </c>
      <c r="N118" s="125">
        <f t="shared" si="13"/>
        <v>838.1</v>
      </c>
      <c r="O118" s="39">
        <f t="shared" si="15"/>
        <v>12.667</v>
      </c>
      <c r="P118" s="93">
        <f t="shared" si="16"/>
        <v>0.61535098372601404</v>
      </c>
      <c r="Q118" s="92">
        <f t="shared" si="17"/>
        <v>5892.4000000000005</v>
      </c>
      <c r="R118" s="95">
        <f t="shared" si="19"/>
        <v>5892.3999999999987</v>
      </c>
      <c r="S118" s="85"/>
      <c r="U118" s="77"/>
    </row>
    <row r="119" spans="1:73" ht="18.75">
      <c r="A119" s="7" t="s">
        <v>140</v>
      </c>
      <c r="B119" s="89">
        <v>224</v>
      </c>
      <c r="C119" s="62">
        <v>1077.2</v>
      </c>
      <c r="D119" s="42">
        <v>238.5</v>
      </c>
      <c r="E119" s="67">
        <v>334</v>
      </c>
      <c r="F119" s="64">
        <v>877.1</v>
      </c>
      <c r="G119" s="64">
        <v>76.400000000000006</v>
      </c>
      <c r="H119" s="64"/>
      <c r="I119" s="64"/>
      <c r="J119" s="109">
        <v>154</v>
      </c>
      <c r="K119" s="42">
        <v>33</v>
      </c>
      <c r="L119" s="42">
        <f>1047.1+81.1</f>
        <v>1128.1999999999998</v>
      </c>
      <c r="M119" s="123">
        <f t="shared" si="20"/>
        <v>3413.5</v>
      </c>
      <c r="N119" s="125">
        <f t="shared" si="13"/>
        <v>505</v>
      </c>
      <c r="O119" s="39">
        <f t="shared" si="15"/>
        <v>15.239000000000001</v>
      </c>
      <c r="P119" s="93">
        <f t="shared" si="16"/>
        <v>0.74029633228078695</v>
      </c>
      <c r="Q119" s="92">
        <f t="shared" si="17"/>
        <v>3918.5</v>
      </c>
      <c r="R119" s="95">
        <f t="shared" si="19"/>
        <v>3918.4</v>
      </c>
      <c r="S119" s="85"/>
      <c r="U119" s="77"/>
    </row>
    <row r="120" spans="1:73" ht="18.75">
      <c r="A120" s="7" t="s">
        <v>141</v>
      </c>
      <c r="B120" s="89">
        <v>374</v>
      </c>
      <c r="C120" s="62">
        <v>1358.6</v>
      </c>
      <c r="D120" s="42">
        <v>300.8</v>
      </c>
      <c r="E120" s="67">
        <v>517.29999999999995</v>
      </c>
      <c r="F120" s="64">
        <f>1218.3+159.3</f>
        <v>1377.6</v>
      </c>
      <c r="G120" s="64">
        <v>160.9</v>
      </c>
      <c r="H120" s="64"/>
      <c r="I120" s="64"/>
      <c r="J120" s="109">
        <v>199</v>
      </c>
      <c r="K120" s="42">
        <v>53</v>
      </c>
      <c r="L120" s="42">
        <f>1592.4+123.4</f>
        <v>1715.8000000000002</v>
      </c>
      <c r="M120" s="123">
        <f t="shared" si="20"/>
        <v>4889.5</v>
      </c>
      <c r="N120" s="125">
        <f t="shared" si="13"/>
        <v>793.5</v>
      </c>
      <c r="O120" s="39">
        <f t="shared" si="15"/>
        <v>13.074</v>
      </c>
      <c r="P120" s="93">
        <f t="shared" si="16"/>
        <v>0.63512266213262081</v>
      </c>
      <c r="Q120" s="92">
        <f t="shared" si="17"/>
        <v>5683</v>
      </c>
      <c r="R120" s="95">
        <f t="shared" si="19"/>
        <v>5683</v>
      </c>
      <c r="S120" s="85"/>
      <c r="U120" s="77"/>
    </row>
    <row r="121" spans="1:73" ht="18.75">
      <c r="A121" s="7" t="s">
        <v>142</v>
      </c>
      <c r="B121" s="89">
        <v>177</v>
      </c>
      <c r="C121" s="62">
        <v>879.6</v>
      </c>
      <c r="D121" s="42">
        <v>194.8</v>
      </c>
      <c r="E121" s="67">
        <v>479</v>
      </c>
      <c r="F121" s="64">
        <v>696</v>
      </c>
      <c r="G121" s="64">
        <v>94.9</v>
      </c>
      <c r="H121" s="64"/>
      <c r="I121" s="64"/>
      <c r="J121" s="109">
        <v>150</v>
      </c>
      <c r="K121" s="42">
        <v>75</v>
      </c>
      <c r="L121" s="42">
        <f>865.3+67</f>
        <v>932.3</v>
      </c>
      <c r="M121" s="123">
        <f t="shared" si="20"/>
        <v>3030.7</v>
      </c>
      <c r="N121" s="125">
        <f t="shared" si="13"/>
        <v>470.9</v>
      </c>
      <c r="O121" s="39">
        <f t="shared" si="15"/>
        <v>17.123000000000001</v>
      </c>
      <c r="P121" s="93">
        <f t="shared" si="16"/>
        <v>0.83181928588778242</v>
      </c>
      <c r="Q121" s="92">
        <f t="shared" si="17"/>
        <v>3501.6</v>
      </c>
      <c r="R121" s="95">
        <f t="shared" si="19"/>
        <v>3501.6000000000004</v>
      </c>
      <c r="S121" s="85"/>
      <c r="U121" s="77"/>
    </row>
    <row r="122" spans="1:73" ht="18.75">
      <c r="A122" s="7" t="s">
        <v>143</v>
      </c>
      <c r="B122" s="89">
        <v>390</v>
      </c>
      <c r="C122" s="62">
        <v>1499.3</v>
      </c>
      <c r="D122" s="42">
        <v>332</v>
      </c>
      <c r="E122" s="67">
        <v>780.3</v>
      </c>
      <c r="F122" s="64">
        <v>1536.8</v>
      </c>
      <c r="G122" s="64">
        <v>185.9</v>
      </c>
      <c r="H122" s="64"/>
      <c r="I122" s="64"/>
      <c r="J122" s="109">
        <v>219</v>
      </c>
      <c r="K122" s="42">
        <v>49.3</v>
      </c>
      <c r="L122" s="42">
        <f>1856.1+143.7</f>
        <v>1999.8</v>
      </c>
      <c r="M122" s="123">
        <f t="shared" si="20"/>
        <v>5706.7</v>
      </c>
      <c r="N122" s="125">
        <f t="shared" si="13"/>
        <v>895.7</v>
      </c>
      <c r="O122" s="39">
        <f t="shared" si="15"/>
        <v>14.632999999999999</v>
      </c>
      <c r="P122" s="93">
        <f t="shared" si="16"/>
        <v>0.71085742045178524</v>
      </c>
      <c r="Q122" s="92">
        <f t="shared" si="17"/>
        <v>6602.4</v>
      </c>
      <c r="R122" s="95">
        <f t="shared" si="19"/>
        <v>6602.4</v>
      </c>
      <c r="S122" s="85"/>
      <c r="U122" s="77"/>
    </row>
    <row r="123" spans="1:73" ht="18.75">
      <c r="A123" s="7" t="s">
        <v>144</v>
      </c>
      <c r="B123" s="89">
        <v>312</v>
      </c>
      <c r="C123" s="42">
        <v>1669.7</v>
      </c>
      <c r="D123" s="42">
        <v>369.7</v>
      </c>
      <c r="E123" s="67">
        <v>1105.9000000000001</v>
      </c>
      <c r="F123" s="64">
        <v>815.3</v>
      </c>
      <c r="G123" s="64">
        <v>143.6</v>
      </c>
      <c r="H123" s="64"/>
      <c r="I123" s="64"/>
      <c r="J123" s="109">
        <v>217</v>
      </c>
      <c r="K123" s="42">
        <v>70.7</v>
      </c>
      <c r="L123" s="42">
        <f>1450.7+112.4</f>
        <v>1563.1000000000001</v>
      </c>
      <c r="M123" s="123">
        <f t="shared" si="20"/>
        <v>5366.1</v>
      </c>
      <c r="N123" s="125">
        <f t="shared" si="13"/>
        <v>588.9</v>
      </c>
      <c r="O123" s="39">
        <f t="shared" si="15"/>
        <v>17.199000000000002</v>
      </c>
      <c r="P123" s="93">
        <f t="shared" si="16"/>
        <v>0.83551129463201368</v>
      </c>
      <c r="Q123" s="92">
        <f t="shared" si="17"/>
        <v>5955</v>
      </c>
      <c r="R123" s="95">
        <f t="shared" si="19"/>
        <v>5955.0000000000009</v>
      </c>
      <c r="S123" s="85"/>
      <c r="U123" s="77"/>
    </row>
    <row r="124" spans="1:73" s="107" customFormat="1" ht="18.75">
      <c r="A124" s="120">
        <v>194</v>
      </c>
      <c r="B124" s="106">
        <v>136</v>
      </c>
      <c r="C124" s="42">
        <v>803.6</v>
      </c>
      <c r="D124" s="42">
        <v>177.9</v>
      </c>
      <c r="E124" s="68">
        <v>465</v>
      </c>
      <c r="F124" s="66">
        <v>468.3</v>
      </c>
      <c r="G124" s="66">
        <v>84.3</v>
      </c>
      <c r="H124" s="66"/>
      <c r="I124" s="66"/>
      <c r="J124" s="98">
        <v>150</v>
      </c>
      <c r="K124" s="42">
        <v>22.9</v>
      </c>
      <c r="L124" s="44">
        <f>1103.5+85.5</f>
        <v>1189</v>
      </c>
      <c r="M124" s="123">
        <f t="shared" si="20"/>
        <v>3057.5</v>
      </c>
      <c r="N124" s="125">
        <f t="shared" si="13"/>
        <v>303.60000000000002</v>
      </c>
      <c r="O124" s="39">
        <f t="shared" si="15"/>
        <v>22.481999999999999</v>
      </c>
      <c r="P124" s="93">
        <f t="shared" si="16"/>
        <v>1.0921544814185085</v>
      </c>
      <c r="Q124" s="92">
        <f t="shared" si="17"/>
        <v>3361.1</v>
      </c>
      <c r="R124" s="95">
        <f t="shared" si="19"/>
        <v>3361</v>
      </c>
      <c r="S124" s="85"/>
      <c r="T124" s="80"/>
      <c r="U124" s="77"/>
      <c r="V124" s="80"/>
      <c r="W124" s="80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7"/>
      <c r="BQ124" s="87"/>
      <c r="BR124" s="87"/>
      <c r="BS124" s="87"/>
      <c r="BT124" s="87"/>
      <c r="BU124" s="87"/>
    </row>
    <row r="125" spans="1:73" ht="18.75">
      <c r="A125" s="7" t="s">
        <v>145</v>
      </c>
      <c r="B125" s="89">
        <v>380</v>
      </c>
      <c r="C125" s="42">
        <v>1546.2</v>
      </c>
      <c r="D125" s="42">
        <v>342.3</v>
      </c>
      <c r="E125" s="67">
        <v>635.29999999999995</v>
      </c>
      <c r="F125" s="64">
        <f>1242.9+169</f>
        <v>1411.9</v>
      </c>
      <c r="G125" s="64">
        <v>226.6</v>
      </c>
      <c r="H125" s="64"/>
      <c r="I125" s="64"/>
      <c r="J125" s="109">
        <v>219</v>
      </c>
      <c r="K125" s="42">
        <v>49.2</v>
      </c>
      <c r="L125" s="42">
        <f>1723.3+133.5</f>
        <v>1856.8</v>
      </c>
      <c r="M125" s="123">
        <f t="shared" si="20"/>
        <v>5468.6</v>
      </c>
      <c r="N125" s="125">
        <f t="shared" ref="N125:N147" si="21">ROUND(K125+(F125-(F125/2))+(E125*0.1),1)</f>
        <v>818.7</v>
      </c>
      <c r="O125" s="39">
        <f t="shared" si="15"/>
        <v>14.391</v>
      </c>
      <c r="P125" s="93">
        <f t="shared" si="16"/>
        <v>0.6991012873451542</v>
      </c>
      <c r="Q125" s="92">
        <f t="shared" si="17"/>
        <v>6287.3</v>
      </c>
      <c r="R125" s="95">
        <f t="shared" si="19"/>
        <v>6287.3</v>
      </c>
      <c r="S125" s="85"/>
      <c r="U125" s="77"/>
    </row>
    <row r="126" spans="1:73" s="107" customFormat="1" ht="18.75">
      <c r="A126" s="120">
        <v>209</v>
      </c>
      <c r="B126" s="106">
        <v>317</v>
      </c>
      <c r="C126" s="42">
        <v>1546.2</v>
      </c>
      <c r="D126" s="42">
        <v>342.3</v>
      </c>
      <c r="E126" s="68">
        <v>813.1</v>
      </c>
      <c r="F126" s="66">
        <f>1642.5+175.8</f>
        <v>1818.3</v>
      </c>
      <c r="G126" s="66">
        <v>227.7</v>
      </c>
      <c r="H126" s="66"/>
      <c r="I126" s="66"/>
      <c r="J126" s="98">
        <v>219</v>
      </c>
      <c r="K126" s="42">
        <v>57.5</v>
      </c>
      <c r="L126" s="44">
        <f>1794.3+139</f>
        <v>1933.3</v>
      </c>
      <c r="M126" s="123">
        <f t="shared" si="20"/>
        <v>5909.4</v>
      </c>
      <c r="N126" s="125">
        <f t="shared" si="21"/>
        <v>1048</v>
      </c>
      <c r="O126" s="39">
        <f t="shared" si="15"/>
        <v>18.641999999999999</v>
      </c>
      <c r="P126" s="93">
        <f t="shared" si="16"/>
        <v>0.90561088170998294</v>
      </c>
      <c r="Q126" s="92">
        <f t="shared" si="17"/>
        <v>6957.4</v>
      </c>
      <c r="R126" s="95">
        <f t="shared" si="19"/>
        <v>6957.4</v>
      </c>
      <c r="S126" s="85"/>
      <c r="T126" s="80"/>
      <c r="U126" s="77"/>
      <c r="V126" s="80"/>
      <c r="W126" s="80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7"/>
      <c r="BR126" s="87"/>
      <c r="BS126" s="87"/>
      <c r="BT126" s="87"/>
      <c r="BU126" s="87"/>
    </row>
    <row r="127" spans="1:73" s="107" customFormat="1" ht="18.75">
      <c r="A127" s="120">
        <v>210</v>
      </c>
      <c r="B127" s="106">
        <v>159</v>
      </c>
      <c r="C127" s="42">
        <v>1053.7</v>
      </c>
      <c r="D127" s="42">
        <v>233.3</v>
      </c>
      <c r="E127" s="68">
        <v>537.1</v>
      </c>
      <c r="F127" s="66">
        <f>1175.7</f>
        <v>1175.7</v>
      </c>
      <c r="G127" s="66">
        <v>92.8</v>
      </c>
      <c r="H127" s="66"/>
      <c r="I127" s="66"/>
      <c r="J127" s="98">
        <v>174</v>
      </c>
      <c r="K127" s="42">
        <v>53.7</v>
      </c>
      <c r="L127" s="44">
        <f>869.1+67.3</f>
        <v>936.4</v>
      </c>
      <c r="M127" s="123">
        <f t="shared" si="20"/>
        <v>3561.4</v>
      </c>
      <c r="N127" s="125">
        <f t="shared" si="21"/>
        <v>695.3</v>
      </c>
      <c r="O127" s="39">
        <f t="shared" si="15"/>
        <v>22.399000000000001</v>
      </c>
      <c r="P127" s="93">
        <f t="shared" si="16"/>
        <v>1.0881224192373087</v>
      </c>
      <c r="Q127" s="92">
        <f t="shared" si="17"/>
        <v>4256.7</v>
      </c>
      <c r="R127" s="95">
        <f t="shared" si="19"/>
        <v>4256.7</v>
      </c>
      <c r="S127" s="85"/>
      <c r="T127" s="80"/>
      <c r="U127" s="77"/>
      <c r="V127" s="80"/>
      <c r="W127" s="80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  <c r="BU127" s="87"/>
    </row>
    <row r="128" spans="1:73" ht="18.75">
      <c r="A128" s="7" t="s">
        <v>146</v>
      </c>
      <c r="B128" s="89">
        <v>199</v>
      </c>
      <c r="C128" s="42">
        <v>959.9</v>
      </c>
      <c r="D128" s="42">
        <v>212.5</v>
      </c>
      <c r="E128" s="67">
        <v>425.7</v>
      </c>
      <c r="F128" s="64">
        <v>827.5</v>
      </c>
      <c r="G128" s="64">
        <v>89.2</v>
      </c>
      <c r="H128" s="64"/>
      <c r="I128" s="64"/>
      <c r="J128" s="109">
        <v>154</v>
      </c>
      <c r="K128" s="42">
        <v>30.1</v>
      </c>
      <c r="L128" s="42">
        <f>1001.6+77.6</f>
        <v>1079.2</v>
      </c>
      <c r="M128" s="123">
        <f t="shared" si="20"/>
        <v>3291.7</v>
      </c>
      <c r="N128" s="125">
        <f t="shared" si="21"/>
        <v>486.4</v>
      </c>
      <c r="O128" s="39">
        <f t="shared" si="15"/>
        <v>16.541</v>
      </c>
      <c r="P128" s="93">
        <f t="shared" si="16"/>
        <v>0.8035462715569589</v>
      </c>
      <c r="Q128" s="92">
        <f t="shared" si="17"/>
        <v>3778.1</v>
      </c>
      <c r="R128" s="95">
        <f t="shared" si="19"/>
        <v>3778.1000000000004</v>
      </c>
      <c r="S128" s="85"/>
      <c r="U128" s="77"/>
    </row>
    <row r="129" spans="1:23" ht="18.75">
      <c r="A129" s="7" t="s">
        <v>147</v>
      </c>
      <c r="B129" s="89">
        <v>367</v>
      </c>
      <c r="C129" s="42">
        <v>1475.8</v>
      </c>
      <c r="D129" s="42">
        <v>326.8</v>
      </c>
      <c r="E129" s="67">
        <v>615.6</v>
      </c>
      <c r="F129" s="64">
        <f>1601.4+194.8</f>
        <v>1796.2</v>
      </c>
      <c r="G129" s="64">
        <v>303.89999999999998</v>
      </c>
      <c r="H129" s="64"/>
      <c r="I129" s="64"/>
      <c r="J129" s="109">
        <v>207</v>
      </c>
      <c r="K129" s="42">
        <v>118</v>
      </c>
      <c r="L129" s="42">
        <f>1458+112.9</f>
        <v>1570.9</v>
      </c>
      <c r="M129" s="123">
        <f t="shared" si="20"/>
        <v>5336.5</v>
      </c>
      <c r="N129" s="125">
        <f t="shared" si="21"/>
        <v>1077.7</v>
      </c>
      <c r="O129" s="39">
        <f t="shared" si="15"/>
        <v>14.541</v>
      </c>
      <c r="P129" s="93">
        <f t="shared" si="16"/>
        <v>0.70638814670876848</v>
      </c>
      <c r="Q129" s="92">
        <f t="shared" si="17"/>
        <v>6414.2</v>
      </c>
      <c r="R129" s="95">
        <f t="shared" si="19"/>
        <v>6414.1999999999989</v>
      </c>
      <c r="S129" s="85"/>
      <c r="U129" s="77"/>
    </row>
    <row r="130" spans="1:23" ht="18.75">
      <c r="A130" s="7" t="s">
        <v>148</v>
      </c>
      <c r="B130" s="89">
        <v>446</v>
      </c>
      <c r="C130" s="42">
        <v>1522.7</v>
      </c>
      <c r="D130" s="42">
        <v>337.1</v>
      </c>
      <c r="E130" s="67">
        <v>895.9</v>
      </c>
      <c r="F130" s="64">
        <f>1579.3+204.5</f>
        <v>1783.8</v>
      </c>
      <c r="G130" s="64">
        <v>397.5</v>
      </c>
      <c r="H130" s="64"/>
      <c r="I130" s="64"/>
      <c r="J130" s="109">
        <v>219</v>
      </c>
      <c r="K130" s="42">
        <v>47.4</v>
      </c>
      <c r="L130" s="42">
        <f>2165.1+167.7</f>
        <v>2332.7999999999997</v>
      </c>
      <c r="M130" s="123">
        <f t="shared" si="20"/>
        <v>6507.3</v>
      </c>
      <c r="N130" s="125">
        <f t="shared" si="21"/>
        <v>1028.9000000000001</v>
      </c>
      <c r="O130" s="39">
        <f t="shared" si="15"/>
        <v>14.59</v>
      </c>
      <c r="P130" s="93">
        <f t="shared" si="16"/>
        <v>0.70876852076754915</v>
      </c>
      <c r="Q130" s="92">
        <f t="shared" si="17"/>
        <v>7536.2000000000007</v>
      </c>
      <c r="R130" s="95">
        <f t="shared" si="19"/>
        <v>7536.1999999999989</v>
      </c>
      <c r="S130" s="85"/>
      <c r="U130" s="77"/>
    </row>
    <row r="131" spans="1:23" ht="18.75">
      <c r="A131" s="7" t="s">
        <v>149</v>
      </c>
      <c r="B131" s="89">
        <v>400</v>
      </c>
      <c r="C131" s="42">
        <v>1569.6</v>
      </c>
      <c r="D131" s="42">
        <v>347.5</v>
      </c>
      <c r="E131" s="67">
        <v>609</v>
      </c>
      <c r="F131" s="64">
        <f>1216.9+143.1</f>
        <v>1360</v>
      </c>
      <c r="G131" s="64">
        <v>355</v>
      </c>
      <c r="H131" s="64"/>
      <c r="I131" s="64"/>
      <c r="J131" s="109">
        <v>219</v>
      </c>
      <c r="K131" s="42">
        <v>55.2</v>
      </c>
      <c r="L131" s="42">
        <f>1854.3+143.6</f>
        <v>1997.8999999999999</v>
      </c>
      <c r="M131" s="123">
        <f t="shared" si="20"/>
        <v>5717.1</v>
      </c>
      <c r="N131" s="125">
        <f t="shared" si="21"/>
        <v>796.1</v>
      </c>
      <c r="O131" s="39">
        <f t="shared" si="15"/>
        <v>14.292999999999999</v>
      </c>
      <c r="P131" s="93">
        <f t="shared" si="16"/>
        <v>0.69434053922759287</v>
      </c>
      <c r="Q131" s="92">
        <f t="shared" si="17"/>
        <v>6513.2000000000007</v>
      </c>
      <c r="R131" s="95">
        <f t="shared" si="19"/>
        <v>6513.2</v>
      </c>
      <c r="S131" s="85"/>
      <c r="U131" s="77"/>
    </row>
    <row r="132" spans="1:23" ht="18.75">
      <c r="A132" s="7" t="s">
        <v>150</v>
      </c>
      <c r="B132" s="89">
        <v>448</v>
      </c>
      <c r="C132" s="42">
        <v>1577.4</v>
      </c>
      <c r="D132" s="42">
        <v>349.3</v>
      </c>
      <c r="E132" s="67">
        <v>1140.2</v>
      </c>
      <c r="F132" s="64">
        <v>1814.7</v>
      </c>
      <c r="G132" s="64">
        <v>247.2</v>
      </c>
      <c r="H132" s="64"/>
      <c r="I132" s="64"/>
      <c r="J132" s="109">
        <v>219</v>
      </c>
      <c r="K132" s="42">
        <v>39.6</v>
      </c>
      <c r="L132" s="42">
        <f>1956.1+151.4</f>
        <v>2107.5</v>
      </c>
      <c r="M132" s="123">
        <f t="shared" si="20"/>
        <v>6433.9</v>
      </c>
      <c r="N132" s="125">
        <f t="shared" si="21"/>
        <v>1061</v>
      </c>
      <c r="O132" s="39">
        <f t="shared" si="15"/>
        <v>14.361000000000001</v>
      </c>
      <c r="P132" s="93">
        <f t="shared" si="16"/>
        <v>0.69764391547243143</v>
      </c>
      <c r="Q132" s="92">
        <f t="shared" si="17"/>
        <v>7494.9</v>
      </c>
      <c r="R132" s="95">
        <f t="shared" si="19"/>
        <v>7494.9000000000005</v>
      </c>
      <c r="S132" s="85"/>
      <c r="U132" s="77"/>
    </row>
    <row r="133" spans="1:23" ht="18.75">
      <c r="A133" s="7" t="s">
        <v>151</v>
      </c>
      <c r="B133" s="89">
        <v>366</v>
      </c>
      <c r="C133" s="42">
        <v>1358.6</v>
      </c>
      <c r="D133" s="42">
        <v>300.8</v>
      </c>
      <c r="E133" s="67">
        <v>540.29999999999995</v>
      </c>
      <c r="F133" s="64">
        <f>1163.3+149.8</f>
        <v>1313.1</v>
      </c>
      <c r="G133" s="64">
        <v>189.4</v>
      </c>
      <c r="H133" s="64"/>
      <c r="I133" s="64"/>
      <c r="J133" s="109">
        <v>199</v>
      </c>
      <c r="K133" s="42">
        <v>33.4</v>
      </c>
      <c r="L133" s="42">
        <f>1843.4+142.7</f>
        <v>1986.1000000000001</v>
      </c>
      <c r="M133" s="123">
        <f t="shared" si="20"/>
        <v>5176.7</v>
      </c>
      <c r="N133" s="125">
        <f t="shared" si="21"/>
        <v>744</v>
      </c>
      <c r="O133" s="39">
        <f t="shared" si="15"/>
        <v>14.144</v>
      </c>
      <c r="P133" s="93">
        <f t="shared" si="16"/>
        <v>0.68710225892640275</v>
      </c>
      <c r="Q133" s="92">
        <f t="shared" si="17"/>
        <v>5920.7</v>
      </c>
      <c r="R133" s="95">
        <f t="shared" si="19"/>
        <v>5920.7</v>
      </c>
      <c r="S133" s="85"/>
      <c r="U133" s="77"/>
    </row>
    <row r="134" spans="1:23" ht="18.75">
      <c r="A134" s="7" t="s">
        <v>152</v>
      </c>
      <c r="B134" s="89">
        <v>444</v>
      </c>
      <c r="C134" s="42">
        <v>1569.6</v>
      </c>
      <c r="D134" s="42">
        <v>347.5</v>
      </c>
      <c r="E134" s="67">
        <v>653.70000000000005</v>
      </c>
      <c r="F134" s="64">
        <f>1392.3+197.6</f>
        <v>1589.8999999999999</v>
      </c>
      <c r="G134" s="64">
        <v>222</v>
      </c>
      <c r="H134" s="64"/>
      <c r="I134" s="64"/>
      <c r="J134" s="109">
        <v>219</v>
      </c>
      <c r="K134" s="42">
        <v>34.299999999999997</v>
      </c>
      <c r="L134" s="42">
        <f>2114.2+163.7</f>
        <v>2277.8999999999996</v>
      </c>
      <c r="M134" s="123">
        <f t="shared" si="20"/>
        <v>6019.3</v>
      </c>
      <c r="N134" s="125">
        <f t="shared" si="21"/>
        <v>894.6</v>
      </c>
      <c r="O134" s="39">
        <f t="shared" si="15"/>
        <v>13.557</v>
      </c>
      <c r="P134" s="93">
        <f t="shared" si="16"/>
        <v>0.65858634928345883</v>
      </c>
      <c r="Q134" s="92">
        <f t="shared" si="17"/>
        <v>6913.9000000000005</v>
      </c>
      <c r="R134" s="95">
        <f t="shared" si="19"/>
        <v>6913.9</v>
      </c>
      <c r="S134" s="85"/>
      <c r="U134" s="77"/>
    </row>
    <row r="135" spans="1:23" ht="18.75">
      <c r="A135" s="7" t="s">
        <v>153</v>
      </c>
      <c r="B135" s="89">
        <v>370</v>
      </c>
      <c r="C135" s="42">
        <v>1288.2</v>
      </c>
      <c r="D135" s="42">
        <v>285.2</v>
      </c>
      <c r="E135" s="67">
        <v>772.7</v>
      </c>
      <c r="F135" s="64">
        <v>1382.1</v>
      </c>
      <c r="G135" s="64">
        <v>211.7</v>
      </c>
      <c r="H135" s="64"/>
      <c r="I135" s="64"/>
      <c r="J135" s="109">
        <v>199</v>
      </c>
      <c r="K135" s="42">
        <v>39.4</v>
      </c>
      <c r="L135" s="42">
        <f>1518+117.5</f>
        <v>1635.5</v>
      </c>
      <c r="M135" s="123">
        <f t="shared" si="20"/>
        <v>5006.1000000000004</v>
      </c>
      <c r="N135" s="125">
        <f>ROUND(K135+(F135-(F135/2))+(E135*0.1),1)</f>
        <v>807.7</v>
      </c>
      <c r="O135" s="39">
        <f t="shared" si="15"/>
        <v>13.53</v>
      </c>
      <c r="P135" s="93">
        <f t="shared" si="16"/>
        <v>0.65727471459800824</v>
      </c>
      <c r="Q135" s="92">
        <f t="shared" si="17"/>
        <v>5813.8</v>
      </c>
      <c r="R135" s="95">
        <f t="shared" si="19"/>
        <v>5813.7999999999993</v>
      </c>
      <c r="S135" s="85"/>
      <c r="U135" s="77"/>
    </row>
    <row r="136" spans="1:23" ht="18.75">
      <c r="A136" s="7" t="s">
        <v>266</v>
      </c>
      <c r="B136" s="89">
        <v>333</v>
      </c>
      <c r="C136" s="6">
        <v>1335.1</v>
      </c>
      <c r="D136" s="110">
        <v>295.60000000000002</v>
      </c>
      <c r="E136" s="67">
        <v>556.70000000000005</v>
      </c>
      <c r="F136" s="64">
        <v>68</v>
      </c>
      <c r="G136" s="64">
        <v>187.6</v>
      </c>
      <c r="H136" s="64">
        <v>367.7</v>
      </c>
      <c r="I136" s="64"/>
      <c r="J136" s="109">
        <v>187</v>
      </c>
      <c r="K136" s="42">
        <v>31.6</v>
      </c>
      <c r="L136" s="42">
        <f>1327.1+102.7</f>
        <v>1429.8</v>
      </c>
      <c r="M136" s="123">
        <f t="shared" si="20"/>
        <v>4337.8</v>
      </c>
      <c r="N136" s="125">
        <f t="shared" si="21"/>
        <v>121.3</v>
      </c>
      <c r="O136" s="39">
        <f t="shared" si="15"/>
        <v>13.026</v>
      </c>
      <c r="P136" s="93">
        <f t="shared" si="16"/>
        <v>0.6327908671362642</v>
      </c>
      <c r="Q136" s="92">
        <f t="shared" si="17"/>
        <v>4459.1000000000004</v>
      </c>
      <c r="R136" s="95">
        <f t="shared" si="19"/>
        <v>4459.0999999999995</v>
      </c>
      <c r="S136" s="85"/>
      <c r="U136" s="77"/>
    </row>
    <row r="137" spans="1:23" ht="18.75">
      <c r="A137" s="122" t="s">
        <v>160</v>
      </c>
      <c r="B137" s="89">
        <v>175</v>
      </c>
      <c r="C137" s="42">
        <v>873.9</v>
      </c>
      <c r="D137" s="42">
        <v>193.5</v>
      </c>
      <c r="E137" s="63">
        <v>438.8</v>
      </c>
      <c r="F137" s="63">
        <v>218.7</v>
      </c>
      <c r="G137" s="63">
        <v>86.7</v>
      </c>
      <c r="H137" s="69"/>
      <c r="I137" s="69"/>
      <c r="J137" s="42">
        <v>154</v>
      </c>
      <c r="K137" s="6">
        <v>42.6</v>
      </c>
      <c r="L137" s="42">
        <f>808.9+62.7</f>
        <v>871.6</v>
      </c>
      <c r="M137" s="123">
        <f t="shared" si="20"/>
        <v>2684</v>
      </c>
      <c r="N137" s="125">
        <f t="shared" si="21"/>
        <v>195.8</v>
      </c>
      <c r="O137" s="39">
        <f t="shared" si="15"/>
        <v>15.337</v>
      </c>
      <c r="P137" s="93">
        <f t="shared" si="16"/>
        <v>0.74505708039834828</v>
      </c>
      <c r="Q137" s="92">
        <f t="shared" si="17"/>
        <v>2879.8</v>
      </c>
      <c r="R137" s="95">
        <f t="shared" si="19"/>
        <v>2879.8</v>
      </c>
      <c r="S137" s="85"/>
      <c r="U137" s="77"/>
      <c r="V137" s="77"/>
      <c r="W137" s="77"/>
    </row>
    <row r="138" spans="1:23" ht="18.75">
      <c r="A138" s="122" t="s">
        <v>158</v>
      </c>
      <c r="B138" s="89">
        <v>103</v>
      </c>
      <c r="C138" s="42">
        <v>733.2</v>
      </c>
      <c r="D138" s="42">
        <v>162.30000000000001</v>
      </c>
      <c r="E138" s="63">
        <v>411.3</v>
      </c>
      <c r="F138" s="63">
        <v>332.5</v>
      </c>
      <c r="G138" s="63">
        <v>39.700000000000003</v>
      </c>
      <c r="H138" s="69"/>
      <c r="I138" s="69"/>
      <c r="J138" s="42">
        <v>130</v>
      </c>
      <c r="K138" s="6">
        <v>158</v>
      </c>
      <c r="L138" s="42">
        <f>514.5+39.8</f>
        <v>554.29999999999995</v>
      </c>
      <c r="M138" s="123">
        <f t="shared" si="20"/>
        <v>2155.9</v>
      </c>
      <c r="N138" s="125">
        <f t="shared" si="21"/>
        <v>365.4</v>
      </c>
      <c r="O138" s="39">
        <f t="shared" si="15"/>
        <v>20.931000000000001</v>
      </c>
      <c r="P138" s="93">
        <f t="shared" si="16"/>
        <v>1.0168083555987371</v>
      </c>
      <c r="Q138" s="92">
        <f t="shared" si="17"/>
        <v>2521.3000000000002</v>
      </c>
      <c r="R138" s="95">
        <f t="shared" si="19"/>
        <v>2521.3000000000002</v>
      </c>
      <c r="S138" s="85"/>
      <c r="U138" s="77"/>
      <c r="V138" s="77"/>
      <c r="W138" s="77"/>
    </row>
    <row r="139" spans="1:23" ht="18.75">
      <c r="A139" s="122" t="s">
        <v>154</v>
      </c>
      <c r="B139" s="89">
        <v>411</v>
      </c>
      <c r="C139" s="42">
        <v>1116.2</v>
      </c>
      <c r="D139" s="42">
        <v>247.1</v>
      </c>
      <c r="E139" s="63">
        <v>684.4</v>
      </c>
      <c r="F139" s="63">
        <f>936.2+191.3</f>
        <v>1127.5</v>
      </c>
      <c r="G139" s="63">
        <v>182.7</v>
      </c>
      <c r="H139" s="69"/>
      <c r="I139" s="69"/>
      <c r="J139" s="42">
        <v>199</v>
      </c>
      <c r="K139" s="6">
        <v>81.599999999999994</v>
      </c>
      <c r="L139" s="42">
        <f>1881.5+145.8</f>
        <v>2027.3</v>
      </c>
      <c r="M139" s="123">
        <f t="shared" si="20"/>
        <v>4952</v>
      </c>
      <c r="N139" s="125">
        <f t="shared" si="21"/>
        <v>713.8</v>
      </c>
      <c r="O139" s="39">
        <f t="shared" si="15"/>
        <v>12.048999999999999</v>
      </c>
      <c r="P139" s="93">
        <f t="shared" si="16"/>
        <v>0.58532912314792318</v>
      </c>
      <c r="Q139" s="92">
        <f t="shared" si="17"/>
        <v>5665.8</v>
      </c>
      <c r="R139" s="95">
        <f t="shared" si="19"/>
        <v>5665.7999999999993</v>
      </c>
      <c r="S139" s="85"/>
      <c r="U139" s="77"/>
      <c r="V139" s="77"/>
      <c r="W139" s="77"/>
    </row>
    <row r="140" spans="1:23" ht="18.75">
      <c r="A140" s="122" t="s">
        <v>155</v>
      </c>
      <c r="B140" s="89">
        <v>348</v>
      </c>
      <c r="C140" s="42">
        <v>1092.8</v>
      </c>
      <c r="D140" s="42">
        <v>242</v>
      </c>
      <c r="E140" s="63">
        <v>458.4</v>
      </c>
      <c r="F140" s="63">
        <v>950</v>
      </c>
      <c r="G140" s="63">
        <v>112.1</v>
      </c>
      <c r="H140" s="69"/>
      <c r="I140" s="69"/>
      <c r="J140" s="42">
        <v>177</v>
      </c>
      <c r="K140" s="6">
        <v>85.4</v>
      </c>
      <c r="L140" s="42">
        <f>1828.9+141.5</f>
        <v>1970.4</v>
      </c>
      <c r="M140" s="123">
        <f t="shared" si="20"/>
        <v>4481.8999999999996</v>
      </c>
      <c r="N140" s="125">
        <f t="shared" si="21"/>
        <v>606.20000000000005</v>
      </c>
      <c r="O140" s="39">
        <f t="shared" si="15"/>
        <v>12.879</v>
      </c>
      <c r="P140" s="93">
        <f t="shared" si="16"/>
        <v>0.6256497449599222</v>
      </c>
      <c r="Q140" s="92">
        <f t="shared" si="17"/>
        <v>5088.0999999999995</v>
      </c>
      <c r="R140" s="95">
        <f t="shared" si="19"/>
        <v>5088.1000000000004</v>
      </c>
      <c r="S140" s="85"/>
      <c r="U140" s="77"/>
      <c r="V140" s="77"/>
      <c r="W140" s="77"/>
    </row>
    <row r="141" spans="1:23" ht="18.75">
      <c r="A141" s="122" t="s">
        <v>156</v>
      </c>
      <c r="B141" s="89">
        <v>233</v>
      </c>
      <c r="C141" s="42">
        <v>834.8</v>
      </c>
      <c r="D141" s="42">
        <v>184.8</v>
      </c>
      <c r="E141" s="63">
        <v>314.3</v>
      </c>
      <c r="F141" s="63">
        <v>733.2</v>
      </c>
      <c r="G141" s="64">
        <v>67</v>
      </c>
      <c r="H141" s="69"/>
      <c r="I141" s="69"/>
      <c r="J141" s="42">
        <v>154</v>
      </c>
      <c r="K141" s="6">
        <v>100</v>
      </c>
      <c r="L141" s="42">
        <f>999.8+77.4</f>
        <v>1077.2</v>
      </c>
      <c r="M141" s="123">
        <f t="shared" si="20"/>
        <v>2967.3</v>
      </c>
      <c r="N141" s="125">
        <f t="shared" si="21"/>
        <v>498</v>
      </c>
      <c r="O141" s="39">
        <f t="shared" si="15"/>
        <v>12.734999999999999</v>
      </c>
      <c r="P141" s="93">
        <f t="shared" si="16"/>
        <v>0.6186543599708525</v>
      </c>
      <c r="Q141" s="92">
        <f t="shared" si="17"/>
        <v>3465.3</v>
      </c>
      <c r="R141" s="95">
        <f t="shared" si="19"/>
        <v>3465.3</v>
      </c>
      <c r="S141" s="85"/>
      <c r="U141" s="77"/>
      <c r="V141" s="77"/>
      <c r="W141" s="77"/>
    </row>
    <row r="142" spans="1:23" ht="18.75">
      <c r="A142" s="120">
        <v>186</v>
      </c>
      <c r="B142" s="106">
        <v>348</v>
      </c>
      <c r="C142" s="44">
        <v>1186.5999999999999</v>
      </c>
      <c r="D142" s="44">
        <v>262.7</v>
      </c>
      <c r="E142" s="65">
        <v>1008.5</v>
      </c>
      <c r="F142" s="65">
        <f>2040.7+216.3</f>
        <v>2257</v>
      </c>
      <c r="G142" s="65">
        <v>162.9</v>
      </c>
      <c r="H142" s="70"/>
      <c r="I142" s="70"/>
      <c r="J142" s="44">
        <v>295</v>
      </c>
      <c r="K142" s="97">
        <v>252.5</v>
      </c>
      <c r="L142" s="44">
        <f>1772.4+158.6</f>
        <v>1931</v>
      </c>
      <c r="M142" s="123">
        <f t="shared" si="20"/>
        <v>5874.4</v>
      </c>
      <c r="N142" s="125">
        <f t="shared" si="21"/>
        <v>1481.9</v>
      </c>
      <c r="O142" s="39">
        <f t="shared" si="15"/>
        <v>16.88</v>
      </c>
      <c r="P142" s="93">
        <f t="shared" si="16"/>
        <v>0.8200145737187271</v>
      </c>
      <c r="Q142" s="92">
        <f t="shared" si="17"/>
        <v>7356.2999999999993</v>
      </c>
      <c r="R142" s="95">
        <f t="shared" si="19"/>
        <v>7356.2</v>
      </c>
      <c r="S142" s="85"/>
      <c r="U142" s="77"/>
      <c r="V142" s="77"/>
      <c r="W142" s="77"/>
    </row>
    <row r="143" spans="1:23" ht="18.75">
      <c r="A143" s="7" t="s">
        <v>162</v>
      </c>
      <c r="B143" s="89">
        <v>414</v>
      </c>
      <c r="C143" s="42">
        <v>1546.2</v>
      </c>
      <c r="D143" s="42">
        <v>342.3</v>
      </c>
      <c r="E143" s="63">
        <v>877.6</v>
      </c>
      <c r="F143" s="63">
        <f>1834.8+246.8</f>
        <v>2081.6</v>
      </c>
      <c r="G143" s="63">
        <v>344.7</v>
      </c>
      <c r="H143" s="69"/>
      <c r="I143" s="69"/>
      <c r="J143" s="6">
        <v>219</v>
      </c>
      <c r="K143" s="6">
        <v>76.7</v>
      </c>
      <c r="L143" s="42">
        <f>1807+139.9</f>
        <v>1946.9</v>
      </c>
      <c r="M143" s="123">
        <f t="shared" si="20"/>
        <v>6229.7</v>
      </c>
      <c r="N143" s="125">
        <f t="shared" si="21"/>
        <v>1205.3</v>
      </c>
      <c r="O143" s="39">
        <f t="shared" si="15"/>
        <v>15.048</v>
      </c>
      <c r="P143" s="93">
        <f t="shared" si="16"/>
        <v>0.73101773135778481</v>
      </c>
      <c r="Q143" s="92">
        <f t="shared" si="17"/>
        <v>7435</v>
      </c>
      <c r="R143" s="95">
        <f t="shared" si="19"/>
        <v>7435</v>
      </c>
      <c r="S143" s="85"/>
      <c r="U143" s="77"/>
      <c r="V143" s="77"/>
      <c r="W143" s="77"/>
    </row>
    <row r="144" spans="1:23" ht="18.75">
      <c r="A144" s="122" t="s">
        <v>157</v>
      </c>
      <c r="B144" s="89">
        <v>401</v>
      </c>
      <c r="C144" s="42">
        <v>1378.5</v>
      </c>
      <c r="D144" s="42">
        <v>295.3</v>
      </c>
      <c r="E144" s="63">
        <v>802.3</v>
      </c>
      <c r="F144" s="63">
        <v>1105.7</v>
      </c>
      <c r="G144" s="63">
        <v>134.69999999999999</v>
      </c>
      <c r="H144" s="69"/>
      <c r="I144" s="69"/>
      <c r="J144" s="42">
        <v>208</v>
      </c>
      <c r="K144" s="6">
        <v>210</v>
      </c>
      <c r="L144" s="42">
        <v>1607</v>
      </c>
      <c r="M144" s="123">
        <f t="shared" si="20"/>
        <v>4898.3999999999996</v>
      </c>
      <c r="N144" s="125">
        <f t="shared" si="21"/>
        <v>843.1</v>
      </c>
      <c r="O144" s="39">
        <f t="shared" si="15"/>
        <v>12.215</v>
      </c>
      <c r="P144" s="93">
        <f t="shared" si="16"/>
        <v>0.59339324751032307</v>
      </c>
      <c r="Q144" s="92">
        <f t="shared" si="17"/>
        <v>5741.5</v>
      </c>
      <c r="R144" s="95">
        <f>SUM(C144:L144)</f>
        <v>5741.5</v>
      </c>
      <c r="S144" s="85"/>
      <c r="U144" s="77"/>
      <c r="V144" s="77"/>
      <c r="W144" s="77"/>
    </row>
    <row r="145" spans="1:73" ht="18.75">
      <c r="A145" s="122" t="s">
        <v>159</v>
      </c>
      <c r="B145" s="89">
        <v>162</v>
      </c>
      <c r="C145" s="42">
        <v>866.1</v>
      </c>
      <c r="D145" s="42">
        <v>191.8</v>
      </c>
      <c r="E145" s="63">
        <v>196.5</v>
      </c>
      <c r="F145" s="63">
        <v>418.3</v>
      </c>
      <c r="G145" s="63">
        <v>69.7</v>
      </c>
      <c r="H145" s="69"/>
      <c r="I145" s="69"/>
      <c r="J145" s="42">
        <v>154</v>
      </c>
      <c r="K145" s="6">
        <v>53.8</v>
      </c>
      <c r="L145" s="42">
        <f>867.1+67.1</f>
        <v>934.2</v>
      </c>
      <c r="M145" s="123">
        <f t="shared" si="20"/>
        <v>2601.8000000000002</v>
      </c>
      <c r="N145" s="125">
        <f t="shared" si="21"/>
        <v>282.60000000000002</v>
      </c>
      <c r="O145" s="39">
        <f t="shared" si="15"/>
        <v>16.059999999999999</v>
      </c>
      <c r="P145" s="93">
        <f t="shared" si="16"/>
        <v>0.78017974253096911</v>
      </c>
      <c r="Q145" s="92">
        <f t="shared" si="17"/>
        <v>2884.4</v>
      </c>
      <c r="R145" s="95">
        <f t="shared" si="19"/>
        <v>2884.4</v>
      </c>
      <c r="S145" s="85"/>
      <c r="U145" s="77"/>
      <c r="V145" s="77"/>
      <c r="W145" s="77"/>
    </row>
    <row r="146" spans="1:73" ht="18.75">
      <c r="A146" s="122" t="s">
        <v>161</v>
      </c>
      <c r="B146" s="89">
        <v>372</v>
      </c>
      <c r="C146" s="42">
        <v>1288.7</v>
      </c>
      <c r="D146" s="42">
        <v>285.3</v>
      </c>
      <c r="E146" s="63">
        <v>749.9</v>
      </c>
      <c r="F146" s="63">
        <v>1153</v>
      </c>
      <c r="G146" s="63">
        <v>203.2</v>
      </c>
      <c r="H146" s="69"/>
      <c r="I146" s="69"/>
      <c r="J146" s="42">
        <v>199</v>
      </c>
      <c r="K146" s="6">
        <v>907.8</v>
      </c>
      <c r="L146" s="42">
        <f>1863.3+144.2</f>
        <v>2007.5</v>
      </c>
      <c r="M146" s="123">
        <f t="shared" si="20"/>
        <v>5235.1000000000004</v>
      </c>
      <c r="N146" s="125">
        <f t="shared" si="21"/>
        <v>1559.3</v>
      </c>
      <c r="O146" s="39">
        <f t="shared" ref="O146" si="22">ROUND(M146/B146,3)</f>
        <v>14.073</v>
      </c>
      <c r="P146" s="93">
        <f t="shared" ref="P146:P147" si="23">O146/20.585</f>
        <v>0.6836531454942919</v>
      </c>
      <c r="Q146" s="92">
        <f t="shared" ref="Q146:Q147" si="24">M146+N146</f>
        <v>6794.4000000000005</v>
      </c>
      <c r="R146" s="95">
        <f>SUM(C146:L146)</f>
        <v>6794.4</v>
      </c>
      <c r="S146" s="85"/>
      <c r="U146" s="77"/>
      <c r="V146" s="77"/>
      <c r="W146" s="77"/>
    </row>
    <row r="147" spans="1:73" ht="18.75">
      <c r="A147" s="122" t="s">
        <v>291</v>
      </c>
      <c r="B147" s="89"/>
      <c r="C147" s="42">
        <v>928.6</v>
      </c>
      <c r="D147" s="42">
        <v>204.9</v>
      </c>
      <c r="E147" s="63"/>
      <c r="F147" s="63"/>
      <c r="G147" s="63"/>
      <c r="H147" s="69"/>
      <c r="I147" s="69"/>
      <c r="J147" s="42"/>
      <c r="K147" s="6"/>
      <c r="L147" s="42">
        <v>2788.6</v>
      </c>
      <c r="M147" s="123">
        <f t="shared" si="20"/>
        <v>3922.1</v>
      </c>
      <c r="N147" s="125">
        <f t="shared" si="21"/>
        <v>0</v>
      </c>
      <c r="O147" s="39"/>
      <c r="P147" s="93">
        <f t="shared" si="23"/>
        <v>0</v>
      </c>
      <c r="Q147" s="92">
        <f t="shared" si="24"/>
        <v>3922.1</v>
      </c>
      <c r="R147" s="95">
        <f>SUM(C147:L147)</f>
        <v>3922.1</v>
      </c>
      <c r="S147" s="85"/>
      <c r="U147" s="77"/>
      <c r="V147" s="77"/>
      <c r="W147" s="77"/>
    </row>
    <row r="148" spans="1:73" s="114" customFormat="1" ht="15.75">
      <c r="A148" s="111" t="s">
        <v>263</v>
      </c>
      <c r="B148" s="112">
        <f t="shared" ref="B148:F148" si="25">SUM(B17:B147)</f>
        <v>30745</v>
      </c>
      <c r="C148" s="112">
        <f t="shared" si="25"/>
        <v>136681.60000000003</v>
      </c>
      <c r="D148" s="112">
        <f t="shared" si="25"/>
        <v>30252.999999999978</v>
      </c>
      <c r="E148" s="112">
        <f t="shared" si="25"/>
        <v>60770.100000000013</v>
      </c>
      <c r="F148" s="112">
        <f t="shared" si="25"/>
        <v>110280.00000000004</v>
      </c>
      <c r="G148" s="112">
        <f t="shared" ref="G148" si="26">SUM(G17:G147)</f>
        <v>14943.100000000006</v>
      </c>
      <c r="H148" s="112">
        <f t="shared" ref="H148" si="27">SUM(H17:H147)</f>
        <v>395.3</v>
      </c>
      <c r="I148" s="112">
        <f t="shared" ref="I148" si="28">SUM(I17:I147)</f>
        <v>67.599999999999994</v>
      </c>
      <c r="J148" s="112">
        <f t="shared" ref="J148" si="29">SUM(J17:J147)</f>
        <v>22577.599999999999</v>
      </c>
      <c r="K148" s="112">
        <f t="shared" ref="K148" si="30">SUM(K17:K147)</f>
        <v>6870.2999999999993</v>
      </c>
      <c r="L148" s="112">
        <f>SUM(L17:L147)</f>
        <v>163343.09999999998</v>
      </c>
      <c r="M148" s="112">
        <f t="shared" ref="M148" si="31">SUM(M17:M147)</f>
        <v>478095.60000000003</v>
      </c>
      <c r="N148" s="112">
        <f t="shared" ref="N148" si="32">SUM(N17:N147)</f>
        <v>68087.5</v>
      </c>
      <c r="O148" s="39">
        <f>ROUND(M148/B148,3)</f>
        <v>15.55</v>
      </c>
      <c r="P148" s="112">
        <f t="shared" ref="P148" si="33">SUM(P17:P147)</f>
        <v>105.45858634928346</v>
      </c>
      <c r="Q148" s="112">
        <f t="shared" ref="Q148" si="34">SUM(Q17:Q147)</f>
        <v>546183.1</v>
      </c>
      <c r="R148" s="112">
        <f>SUM(R17:R147)</f>
        <v>546181.70000000007</v>
      </c>
      <c r="S148" s="113">
        <f>C148+D148+E148+F148+G148+H148+I148+J148+K148+L148</f>
        <v>546181.69999999995</v>
      </c>
      <c r="T148" s="80"/>
      <c r="U148" s="80"/>
      <c r="V148" s="80"/>
      <c r="W148" s="80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7"/>
      <c r="BR148" s="87"/>
      <c r="BS148" s="87"/>
      <c r="BT148" s="87"/>
      <c r="BU148" s="87"/>
    </row>
    <row r="149" spans="1:73">
      <c r="A149" s="89"/>
      <c r="B149" s="89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39"/>
      <c r="R149" s="25">
        <v>546181.69999999995</v>
      </c>
      <c r="U149" s="80">
        <f>R149/B148</f>
        <v>17.764895104895103</v>
      </c>
    </row>
    <row r="150" spans="1:73">
      <c r="A150" s="6"/>
      <c r="B150" s="115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>
        <v>20.585000000000001</v>
      </c>
      <c r="Q150" s="39"/>
    </row>
    <row r="151" spans="1:73"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Q151" s="116"/>
      <c r="T151" s="117"/>
    </row>
    <row r="152" spans="1:73">
      <c r="M152" s="118"/>
      <c r="Q152" s="116"/>
      <c r="R152" s="95"/>
    </row>
    <row r="153" spans="1:73">
      <c r="Q153" s="116"/>
    </row>
    <row r="154" spans="1:73">
      <c r="Q154" s="116"/>
    </row>
    <row r="155" spans="1:73">
      <c r="Q155" s="116"/>
    </row>
    <row r="156" spans="1:73">
      <c r="Q156" s="116"/>
    </row>
  </sheetData>
  <mergeCells count="3">
    <mergeCell ref="A1:B1"/>
    <mergeCell ref="A3:Q3"/>
    <mergeCell ref="A16:Q16"/>
  </mergeCells>
  <pageMargins left="0.25" right="0.25" top="0.28999999999999998" bottom="0.28000000000000003" header="0.3" footer="0.3"/>
  <pageSetup paperSize="9" scale="7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BV156"/>
  <sheetViews>
    <sheetView workbookViewId="0">
      <pane ySplit="1500" activePane="bottomLeft"/>
      <selection sqref="A1:XFD1048576"/>
      <selection pane="bottomLeft" activeCell="O17" sqref="O17"/>
    </sheetView>
  </sheetViews>
  <sheetFormatPr defaultRowHeight="15"/>
  <cols>
    <col min="1" max="1" width="15" style="25" customWidth="1"/>
    <col min="2" max="2" width="11.7109375" style="25" customWidth="1"/>
    <col min="3" max="3" width="10.85546875" style="25" customWidth="1"/>
    <col min="4" max="5" width="9.7109375" style="25" customWidth="1"/>
    <col min="6" max="6" width="11" style="25" customWidth="1"/>
    <col min="7" max="7" width="9.85546875" style="25" customWidth="1"/>
    <col min="8" max="8" width="9.85546875" style="25" bestFit="1" customWidth="1"/>
    <col min="9" max="9" width="9.42578125" style="25" bestFit="1" customWidth="1"/>
    <col min="10" max="10" width="9.42578125" style="25" customWidth="1"/>
    <col min="11" max="11" width="11" style="25" bestFit="1" customWidth="1"/>
    <col min="12" max="12" width="9.85546875" style="25" bestFit="1" customWidth="1"/>
    <col min="13" max="13" width="10" style="25" bestFit="1" customWidth="1"/>
    <col min="14" max="14" width="11" style="25" bestFit="1" customWidth="1"/>
    <col min="15" max="15" width="10" style="25" customWidth="1"/>
    <col min="16" max="16" width="11" style="25" bestFit="1" customWidth="1"/>
    <col min="17" max="17" width="10" style="25" bestFit="1" customWidth="1"/>
    <col min="18" max="18" width="10.42578125" style="25" customWidth="1"/>
    <col min="19" max="19" width="10.5703125" style="25" bestFit="1" customWidth="1"/>
    <col min="20" max="20" width="10.42578125" style="80" bestFit="1" customWidth="1"/>
    <col min="21" max="22" width="9.42578125" style="80" bestFit="1" customWidth="1"/>
    <col min="23" max="24" width="9.140625" style="80"/>
    <col min="25" max="74" width="9.140625" style="87"/>
    <col min="75" max="16384" width="9.140625" style="25"/>
  </cols>
  <sheetData>
    <row r="1" spans="1:74">
      <c r="A1" s="207" t="s">
        <v>274</v>
      </c>
      <c r="B1" s="207"/>
      <c r="C1" s="78"/>
      <c r="D1" s="78"/>
      <c r="E1" s="78"/>
      <c r="F1" s="79">
        <v>0.9</v>
      </c>
      <c r="G1" s="79">
        <v>0.5</v>
      </c>
      <c r="H1" s="79">
        <v>1</v>
      </c>
      <c r="I1" s="78"/>
      <c r="J1" s="78"/>
      <c r="K1" s="78"/>
      <c r="L1" s="78"/>
      <c r="M1" s="78"/>
      <c r="N1" s="78"/>
    </row>
    <row r="2" spans="1:74" ht="45">
      <c r="A2" s="5" t="s">
        <v>11</v>
      </c>
      <c r="B2" s="81" t="s">
        <v>260</v>
      </c>
      <c r="C2" s="71">
        <v>211</v>
      </c>
      <c r="D2" s="71">
        <v>213</v>
      </c>
      <c r="E2" s="71"/>
      <c r="F2" s="71" t="s">
        <v>13</v>
      </c>
      <c r="G2" s="71" t="s">
        <v>267</v>
      </c>
      <c r="H2" s="71" t="s">
        <v>12</v>
      </c>
      <c r="I2" s="71" t="s">
        <v>14</v>
      </c>
      <c r="J2" s="71" t="s">
        <v>269</v>
      </c>
      <c r="K2" s="71" t="s">
        <v>15</v>
      </c>
      <c r="L2" s="126" t="s">
        <v>23</v>
      </c>
      <c r="M2" s="73" t="s">
        <v>261</v>
      </c>
      <c r="N2" s="82" t="s">
        <v>262</v>
      </c>
      <c r="O2" s="124" t="s">
        <v>292</v>
      </c>
      <c r="P2" s="7"/>
      <c r="Q2" s="83" t="s">
        <v>295</v>
      </c>
      <c r="R2" s="74" t="s">
        <v>293</v>
      </c>
      <c r="S2" s="74" t="s">
        <v>293</v>
      </c>
      <c r="T2" s="75"/>
      <c r="U2" s="76"/>
      <c r="V2" s="76"/>
    </row>
    <row r="3" spans="1:74" s="87" customFormat="1" ht="15.75" hidden="1">
      <c r="A3" s="208" t="s">
        <v>264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09"/>
      <c r="Q3" s="209"/>
      <c r="R3" s="210"/>
      <c r="S3" s="84"/>
      <c r="T3" s="85"/>
      <c r="U3" s="85"/>
      <c r="V3" s="86"/>
      <c r="W3" s="86"/>
      <c r="X3" s="80"/>
    </row>
    <row r="4" spans="1:74" ht="18.75" hidden="1">
      <c r="A4" s="88" t="s">
        <v>268</v>
      </c>
      <c r="B4" s="89"/>
      <c r="C4" s="52"/>
      <c r="D4" s="52"/>
      <c r="E4" s="52"/>
      <c r="F4" s="44"/>
      <c r="G4" s="44"/>
      <c r="H4" s="44"/>
      <c r="I4" s="90"/>
      <c r="J4" s="90"/>
      <c r="K4" s="90"/>
      <c r="L4" s="90"/>
      <c r="M4" s="90"/>
      <c r="N4" s="91">
        <f t="shared" ref="N4:N14" si="0">ROUND(C4+D4+I4+K4+M4+(G4/2)+H4+(F4*0.9),1)</f>
        <v>0</v>
      </c>
      <c r="O4" s="125">
        <f t="shared" ref="O4:O14" si="1">ROUND(L4+(G4-(G4/2))+(F4*0.1),1)</f>
        <v>0</v>
      </c>
      <c r="P4" s="125" t="e">
        <f>ROUND(#REF!+#REF!,1)</f>
        <v>#REF!</v>
      </c>
      <c r="Q4" s="93" t="e">
        <f>#REF!/#REF!</f>
        <v>#REF!</v>
      </c>
      <c r="R4" s="94" t="e">
        <f>Q4/23.095</f>
        <v>#REF!</v>
      </c>
      <c r="S4" s="95">
        <f t="shared" ref="S4:S14" si="2">SUM(C4:M4)</f>
        <v>0</v>
      </c>
      <c r="T4" s="85"/>
      <c r="U4" s="85"/>
    </row>
    <row r="5" spans="1:74" ht="24" hidden="1" customHeight="1">
      <c r="A5" s="88">
        <v>75</v>
      </c>
      <c r="B5" s="89"/>
      <c r="C5" s="52"/>
      <c r="D5" s="52"/>
      <c r="E5" s="52"/>
      <c r="F5" s="44"/>
      <c r="G5" s="44"/>
      <c r="H5" s="44"/>
      <c r="I5" s="90"/>
      <c r="J5" s="90"/>
      <c r="K5" s="96"/>
      <c r="L5" s="44"/>
      <c r="M5" s="97"/>
      <c r="N5" s="91">
        <f t="shared" si="0"/>
        <v>0</v>
      </c>
      <c r="O5" s="125">
        <f t="shared" si="1"/>
        <v>0</v>
      </c>
      <c r="P5" s="125" t="e">
        <f>ROUND(#REF!+#REF!,1)</f>
        <v>#REF!</v>
      </c>
      <c r="Q5" s="93" t="e">
        <f>#REF!/#REF!</f>
        <v>#REF!</v>
      </c>
      <c r="R5" s="94" t="e">
        <f t="shared" ref="R5:R14" si="3">Q5/23.095</f>
        <v>#REF!</v>
      </c>
      <c r="S5" s="95">
        <f t="shared" si="2"/>
        <v>0</v>
      </c>
      <c r="T5" s="85"/>
      <c r="U5" s="85"/>
    </row>
    <row r="6" spans="1:74" ht="18.75" hidden="1">
      <c r="A6" s="88">
        <v>106</v>
      </c>
      <c r="B6" s="89"/>
      <c r="C6" s="52"/>
      <c r="D6" s="52"/>
      <c r="E6" s="52"/>
      <c r="F6" s="44"/>
      <c r="G6" s="44"/>
      <c r="H6" s="44"/>
      <c r="I6" s="90"/>
      <c r="J6" s="90"/>
      <c r="K6" s="96"/>
      <c r="L6" s="44"/>
      <c r="M6" s="97"/>
      <c r="N6" s="91">
        <f t="shared" si="0"/>
        <v>0</v>
      </c>
      <c r="O6" s="125">
        <f t="shared" si="1"/>
        <v>0</v>
      </c>
      <c r="P6" s="125" t="e">
        <f>ROUND(#REF!+#REF!,1)</f>
        <v>#REF!</v>
      </c>
      <c r="Q6" s="93" t="e">
        <f>#REF!/#REF!</f>
        <v>#REF!</v>
      </c>
      <c r="R6" s="94" t="e">
        <f t="shared" si="3"/>
        <v>#REF!</v>
      </c>
      <c r="S6" s="95">
        <f t="shared" si="2"/>
        <v>0</v>
      </c>
      <c r="T6" s="85"/>
      <c r="U6" s="85"/>
    </row>
    <row r="7" spans="1:74" ht="18.75" hidden="1">
      <c r="A7" s="88">
        <v>139</v>
      </c>
      <c r="B7" s="89"/>
      <c r="C7" s="52"/>
      <c r="D7" s="52"/>
      <c r="E7" s="52"/>
      <c r="F7" s="44"/>
      <c r="G7" s="44"/>
      <c r="H7" s="44"/>
      <c r="I7" s="90"/>
      <c r="J7" s="90"/>
      <c r="K7" s="96"/>
      <c r="L7" s="44"/>
      <c r="M7" s="97"/>
      <c r="N7" s="91">
        <f t="shared" si="0"/>
        <v>0</v>
      </c>
      <c r="O7" s="125">
        <f t="shared" si="1"/>
        <v>0</v>
      </c>
      <c r="P7" s="125" t="e">
        <f>ROUND(#REF!+#REF!,1)</f>
        <v>#REF!</v>
      </c>
      <c r="Q7" s="93" t="e">
        <f>#REF!/#REF!</f>
        <v>#REF!</v>
      </c>
      <c r="R7" s="94" t="e">
        <f t="shared" si="3"/>
        <v>#REF!</v>
      </c>
      <c r="S7" s="95">
        <f t="shared" si="2"/>
        <v>0</v>
      </c>
      <c r="T7" s="85"/>
      <c r="U7" s="85"/>
    </row>
    <row r="8" spans="1:74" ht="18.75" hidden="1">
      <c r="A8" s="88">
        <v>159</v>
      </c>
      <c r="B8" s="89"/>
      <c r="C8" s="52"/>
      <c r="D8" s="52"/>
      <c r="E8" s="52"/>
      <c r="F8" s="44"/>
      <c r="G8" s="44"/>
      <c r="H8" s="44"/>
      <c r="I8" s="90"/>
      <c r="J8" s="90"/>
      <c r="K8" s="98"/>
      <c r="L8" s="97"/>
      <c r="M8" s="44"/>
      <c r="N8" s="91">
        <f t="shared" si="0"/>
        <v>0</v>
      </c>
      <c r="O8" s="125">
        <f t="shared" si="1"/>
        <v>0</v>
      </c>
      <c r="P8" s="125" t="e">
        <f>ROUND(#REF!+#REF!,1)</f>
        <v>#REF!</v>
      </c>
      <c r="Q8" s="93" t="e">
        <f>#REF!/#REF!</f>
        <v>#REF!</v>
      </c>
      <c r="R8" s="94" t="e">
        <f t="shared" si="3"/>
        <v>#REF!</v>
      </c>
      <c r="S8" s="95">
        <f t="shared" si="2"/>
        <v>0</v>
      </c>
      <c r="T8" s="85"/>
      <c r="U8" s="85"/>
    </row>
    <row r="9" spans="1:74" ht="18.75" hidden="1">
      <c r="A9" s="88">
        <v>173</v>
      </c>
      <c r="B9" s="89"/>
      <c r="C9" s="52"/>
      <c r="D9" s="52"/>
      <c r="E9" s="52"/>
      <c r="F9" s="44"/>
      <c r="G9" s="44"/>
      <c r="H9" s="44"/>
      <c r="I9" s="90"/>
      <c r="J9" s="90"/>
      <c r="K9" s="98"/>
      <c r="L9" s="97"/>
      <c r="M9" s="44"/>
      <c r="N9" s="91">
        <f t="shared" si="0"/>
        <v>0</v>
      </c>
      <c r="O9" s="125">
        <f t="shared" si="1"/>
        <v>0</v>
      </c>
      <c r="P9" s="125" t="e">
        <f>ROUND(#REF!+#REF!,1)</f>
        <v>#REF!</v>
      </c>
      <c r="Q9" s="93" t="e">
        <f>#REF!/#REF!</f>
        <v>#REF!</v>
      </c>
      <c r="R9" s="94" t="e">
        <f t="shared" si="3"/>
        <v>#REF!</v>
      </c>
      <c r="S9" s="95">
        <f t="shared" si="2"/>
        <v>0</v>
      </c>
      <c r="T9" s="85"/>
      <c r="U9" s="85"/>
    </row>
    <row r="10" spans="1:74" ht="18.75" hidden="1">
      <c r="A10" s="88">
        <v>84</v>
      </c>
      <c r="B10" s="89"/>
      <c r="C10" s="97"/>
      <c r="D10" s="99"/>
      <c r="E10" s="99"/>
      <c r="F10" s="100"/>
      <c r="G10" s="90"/>
      <c r="H10" s="90"/>
      <c r="I10" s="90"/>
      <c r="J10" s="90"/>
      <c r="K10" s="98"/>
      <c r="L10" s="44"/>
      <c r="M10" s="44"/>
      <c r="N10" s="91">
        <f t="shared" si="0"/>
        <v>0</v>
      </c>
      <c r="O10" s="125">
        <f t="shared" si="1"/>
        <v>0</v>
      </c>
      <c r="P10" s="125" t="e">
        <f>ROUND(#REF!+#REF!,1)</f>
        <v>#REF!</v>
      </c>
      <c r="Q10" s="93" t="e">
        <f>#REF!/#REF!</f>
        <v>#REF!</v>
      </c>
      <c r="R10" s="94" t="e">
        <f t="shared" si="3"/>
        <v>#REF!</v>
      </c>
      <c r="S10" s="95">
        <f t="shared" si="2"/>
        <v>0</v>
      </c>
      <c r="T10" s="85"/>
      <c r="U10" s="85"/>
    </row>
    <row r="11" spans="1:74" ht="18.75" hidden="1">
      <c r="A11" s="88">
        <v>101</v>
      </c>
      <c r="B11" s="89"/>
      <c r="C11" s="97"/>
      <c r="D11" s="99"/>
      <c r="E11" s="99"/>
      <c r="F11" s="100"/>
      <c r="G11" s="90"/>
      <c r="H11" s="90"/>
      <c r="I11" s="90"/>
      <c r="J11" s="90"/>
      <c r="K11" s="98"/>
      <c r="L11" s="44"/>
      <c r="M11" s="44"/>
      <c r="N11" s="91">
        <f t="shared" si="0"/>
        <v>0</v>
      </c>
      <c r="O11" s="125">
        <f t="shared" si="1"/>
        <v>0</v>
      </c>
      <c r="P11" s="125" t="e">
        <f>ROUND(#REF!+#REF!,1)</f>
        <v>#REF!</v>
      </c>
      <c r="Q11" s="93" t="e">
        <f>#REF!/#REF!</f>
        <v>#REF!</v>
      </c>
      <c r="R11" s="94" t="e">
        <f t="shared" si="3"/>
        <v>#REF!</v>
      </c>
      <c r="S11" s="95">
        <f t="shared" si="2"/>
        <v>0</v>
      </c>
      <c r="T11" s="85"/>
      <c r="U11" s="85"/>
    </row>
    <row r="12" spans="1:74" ht="18.75" hidden="1">
      <c r="A12" s="101">
        <v>85</v>
      </c>
      <c r="B12" s="89"/>
      <c r="C12" s="52"/>
      <c r="D12" s="52"/>
      <c r="E12" s="52"/>
      <c r="F12" s="44"/>
      <c r="G12" s="44"/>
      <c r="H12" s="44"/>
      <c r="I12" s="90"/>
      <c r="J12" s="90"/>
      <c r="K12" s="96"/>
      <c r="L12" s="44"/>
      <c r="M12" s="97"/>
      <c r="N12" s="91">
        <f t="shared" si="0"/>
        <v>0</v>
      </c>
      <c r="O12" s="125">
        <f t="shared" si="1"/>
        <v>0</v>
      </c>
      <c r="P12" s="125" t="e">
        <f>ROUND(#REF!+#REF!,1)</f>
        <v>#REF!</v>
      </c>
      <c r="Q12" s="93" t="e">
        <f>#REF!/#REF!</f>
        <v>#REF!</v>
      </c>
      <c r="R12" s="94" t="e">
        <f t="shared" si="3"/>
        <v>#REF!</v>
      </c>
      <c r="S12" s="95">
        <f t="shared" si="2"/>
        <v>0</v>
      </c>
      <c r="T12" s="85"/>
      <c r="U12" s="85"/>
    </row>
    <row r="13" spans="1:74" ht="18.75" hidden="1">
      <c r="A13" s="88">
        <v>40</v>
      </c>
      <c r="B13" s="89"/>
      <c r="C13" s="52"/>
      <c r="D13" s="52"/>
      <c r="E13" s="52"/>
      <c r="F13" s="44"/>
      <c r="G13" s="44"/>
      <c r="H13" s="44"/>
      <c r="I13" s="90"/>
      <c r="J13" s="90"/>
      <c r="K13" s="98"/>
      <c r="L13" s="97"/>
      <c r="M13" s="44"/>
      <c r="N13" s="91">
        <f t="shared" si="0"/>
        <v>0</v>
      </c>
      <c r="O13" s="125">
        <f t="shared" si="1"/>
        <v>0</v>
      </c>
      <c r="P13" s="125" t="e">
        <f>ROUND(#REF!+#REF!,1)</f>
        <v>#REF!</v>
      </c>
      <c r="Q13" s="93" t="e">
        <f>#REF!/#REF!</f>
        <v>#REF!</v>
      </c>
      <c r="R13" s="94" t="e">
        <f t="shared" si="3"/>
        <v>#REF!</v>
      </c>
      <c r="S13" s="95">
        <f t="shared" si="2"/>
        <v>0</v>
      </c>
      <c r="T13" s="85"/>
      <c r="U13" s="85"/>
    </row>
    <row r="14" spans="1:74" ht="18.75" hidden="1">
      <c r="A14" s="88">
        <v>115</v>
      </c>
      <c r="B14" s="89"/>
      <c r="C14" s="52"/>
      <c r="D14" s="52"/>
      <c r="E14" s="52"/>
      <c r="F14" s="44"/>
      <c r="G14" s="44"/>
      <c r="H14" s="44"/>
      <c r="I14" s="90"/>
      <c r="J14" s="90"/>
      <c r="K14" s="98"/>
      <c r="L14" s="97"/>
      <c r="M14" s="44"/>
      <c r="N14" s="91">
        <f t="shared" si="0"/>
        <v>0</v>
      </c>
      <c r="O14" s="125">
        <f t="shared" si="1"/>
        <v>0</v>
      </c>
      <c r="P14" s="125" t="e">
        <f>ROUND(#REF!+#REF!,1)</f>
        <v>#REF!</v>
      </c>
      <c r="Q14" s="93" t="e">
        <f>#REF!/#REF!</f>
        <v>#REF!</v>
      </c>
      <c r="R14" s="94" t="e">
        <f t="shared" si="3"/>
        <v>#REF!</v>
      </c>
      <c r="S14" s="95">
        <f t="shared" si="2"/>
        <v>0</v>
      </c>
      <c r="T14" s="85"/>
      <c r="U14" s="85"/>
    </row>
    <row r="15" spans="1:74" s="105" customFormat="1" hidden="1">
      <c r="A15" s="119" t="s">
        <v>16</v>
      </c>
      <c r="B15" s="102">
        <f t="shared" ref="B15:S15" si="4">SUM(B4:B14)</f>
        <v>0</v>
      </c>
      <c r="C15" s="103">
        <f t="shared" si="4"/>
        <v>0</v>
      </c>
      <c r="D15" s="103">
        <f t="shared" si="4"/>
        <v>0</v>
      </c>
      <c r="E15" s="103"/>
      <c r="F15" s="103">
        <f t="shared" si="4"/>
        <v>0</v>
      </c>
      <c r="G15" s="103">
        <f t="shared" si="4"/>
        <v>0</v>
      </c>
      <c r="H15" s="103">
        <f t="shared" si="4"/>
        <v>0</v>
      </c>
      <c r="I15" s="103">
        <f t="shared" si="4"/>
        <v>0</v>
      </c>
      <c r="J15" s="103">
        <f t="shared" si="4"/>
        <v>0</v>
      </c>
      <c r="K15" s="103">
        <f t="shared" si="4"/>
        <v>0</v>
      </c>
      <c r="L15" s="103">
        <f t="shared" si="4"/>
        <v>0</v>
      </c>
      <c r="M15" s="103">
        <f t="shared" si="4"/>
        <v>0</v>
      </c>
      <c r="N15" s="103">
        <f t="shared" si="4"/>
        <v>0</v>
      </c>
      <c r="O15" s="103">
        <f t="shared" si="4"/>
        <v>0</v>
      </c>
      <c r="P15" s="103" t="e">
        <f t="shared" si="4"/>
        <v>#REF!</v>
      </c>
      <c r="Q15" s="103" t="e">
        <f t="shared" si="4"/>
        <v>#REF!</v>
      </c>
      <c r="R15" s="103" t="e">
        <f t="shared" si="4"/>
        <v>#REF!</v>
      </c>
      <c r="S15" s="104">
        <f t="shared" si="4"/>
        <v>0</v>
      </c>
      <c r="T15" s="85"/>
      <c r="U15" s="85"/>
      <c r="V15" s="80"/>
      <c r="W15" s="80"/>
      <c r="X15" s="80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</row>
    <row r="16" spans="1:74" ht="15.75" hidden="1">
      <c r="A16" s="211" t="s">
        <v>265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2"/>
      <c r="Q16" s="212"/>
      <c r="R16" s="213"/>
      <c r="S16" s="95">
        <f t="shared" ref="S16:S28" si="5">SUM(C16:M16)</f>
        <v>0</v>
      </c>
      <c r="T16" s="85"/>
      <c r="U16" s="85"/>
    </row>
    <row r="17" spans="1:74" ht="18.75">
      <c r="A17" s="7" t="s">
        <v>66</v>
      </c>
      <c r="B17" s="89">
        <v>155</v>
      </c>
      <c r="C17" s="51">
        <v>757.6</v>
      </c>
      <c r="D17" s="51">
        <v>227.8</v>
      </c>
      <c r="E17" s="108">
        <f t="shared" ref="E17:E80" si="6">F17+G17+H17</f>
        <v>0</v>
      </c>
      <c r="F17" s="63"/>
      <c r="G17" s="63"/>
      <c r="H17" s="63"/>
      <c r="I17" s="64"/>
      <c r="J17" s="64"/>
      <c r="K17" s="42">
        <v>45.4</v>
      </c>
      <c r="L17" s="42">
        <v>24.8</v>
      </c>
      <c r="M17" s="42">
        <v>1004</v>
      </c>
      <c r="N17" s="123">
        <f t="shared" ref="N17:N80" si="7">ROUND(C17+D17+I17+K17+M17+(G17/2)+H17+(F17*0.9),1)</f>
        <v>2034.8</v>
      </c>
      <c r="O17" s="125">
        <f t="shared" ref="O17:O80" si="8">ROUND(L17+(G17-(G17/2))+(F17*0.1),1)</f>
        <v>24.8</v>
      </c>
      <c r="P17" s="39">
        <f>ROUND(N17/B17,3)</f>
        <v>13.128</v>
      </c>
      <c r="Q17" s="93">
        <f>P17/20.585</f>
        <v>0.63774593150352199</v>
      </c>
      <c r="R17" s="92">
        <f>N17+O17</f>
        <v>2059.6</v>
      </c>
      <c r="S17" s="95">
        <f>SUM(C17:M17)</f>
        <v>2059.6000000000004</v>
      </c>
      <c r="T17" s="85"/>
      <c r="U17" s="85"/>
      <c r="V17" s="77"/>
    </row>
    <row r="18" spans="1:74" s="107" customFormat="1" ht="18.75">
      <c r="A18" s="120">
        <v>16</v>
      </c>
      <c r="B18" s="106">
        <v>82</v>
      </c>
      <c r="C18" s="52">
        <v>757.6</v>
      </c>
      <c r="D18" s="52">
        <v>227.8</v>
      </c>
      <c r="E18" s="108">
        <f t="shared" si="6"/>
        <v>0</v>
      </c>
      <c r="F18" s="65"/>
      <c r="G18" s="65"/>
      <c r="H18" s="65"/>
      <c r="I18" s="66"/>
      <c r="J18" s="66"/>
      <c r="K18" s="90">
        <v>45.4</v>
      </c>
      <c r="L18" s="42">
        <v>25.1</v>
      </c>
      <c r="M18" s="90">
        <v>1071</v>
      </c>
      <c r="N18" s="123">
        <f t="shared" si="7"/>
        <v>2101.8000000000002</v>
      </c>
      <c r="O18" s="125">
        <f t="shared" si="8"/>
        <v>25.1</v>
      </c>
      <c r="P18" s="39">
        <f t="shared" ref="P18:P81" si="9">ROUND(N18/B18,3)</f>
        <v>25.632000000000001</v>
      </c>
      <c r="Q18" s="93">
        <f t="shared" ref="Q18:Q81" si="10">P18/20.585</f>
        <v>1.2451785280544085</v>
      </c>
      <c r="R18" s="92">
        <f t="shared" ref="R18:R81" si="11">N18+O18</f>
        <v>2126.9</v>
      </c>
      <c r="S18" s="95">
        <f t="shared" si="5"/>
        <v>2126.9</v>
      </c>
      <c r="T18" s="85"/>
      <c r="U18" s="85"/>
      <c r="V18" s="77"/>
      <c r="W18" s="80"/>
      <c r="X18" s="80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  <c r="BU18" s="87"/>
      <c r="BV18" s="87"/>
    </row>
    <row r="19" spans="1:74" ht="18.75">
      <c r="A19" s="7" t="s">
        <v>67</v>
      </c>
      <c r="B19" s="89">
        <v>123</v>
      </c>
      <c r="C19" s="51">
        <v>661.7</v>
      </c>
      <c r="D19" s="51">
        <v>198.9</v>
      </c>
      <c r="E19" s="108">
        <f t="shared" si="6"/>
        <v>0</v>
      </c>
      <c r="F19" s="63"/>
      <c r="G19" s="63"/>
      <c r="H19" s="63"/>
      <c r="I19" s="64"/>
      <c r="J19" s="64"/>
      <c r="K19" s="108">
        <v>38.299999999999997</v>
      </c>
      <c r="L19" s="42">
        <v>13.5</v>
      </c>
      <c r="M19" s="6">
        <v>803.9</v>
      </c>
      <c r="N19" s="123">
        <f t="shared" si="7"/>
        <v>1702.8</v>
      </c>
      <c r="O19" s="125">
        <f t="shared" si="8"/>
        <v>13.5</v>
      </c>
      <c r="P19" s="39">
        <f t="shared" si="9"/>
        <v>13.843999999999999</v>
      </c>
      <c r="Q19" s="93">
        <f t="shared" si="10"/>
        <v>0.67252854019917407</v>
      </c>
      <c r="R19" s="92">
        <f t="shared" si="11"/>
        <v>1716.3</v>
      </c>
      <c r="S19" s="95">
        <f t="shared" si="5"/>
        <v>1716.3</v>
      </c>
      <c r="T19" s="85"/>
      <c r="U19" s="85"/>
      <c r="V19" s="77"/>
    </row>
    <row r="20" spans="1:74" ht="18.75">
      <c r="A20" s="7" t="s">
        <v>68</v>
      </c>
      <c r="B20" s="89">
        <v>183</v>
      </c>
      <c r="C20" s="51">
        <v>829.5</v>
      </c>
      <c r="D20" s="51">
        <v>249.4</v>
      </c>
      <c r="E20" s="108">
        <f t="shared" si="6"/>
        <v>0</v>
      </c>
      <c r="F20" s="63"/>
      <c r="G20" s="63"/>
      <c r="H20" s="63"/>
      <c r="I20" s="64"/>
      <c r="J20" s="64"/>
      <c r="K20" s="108">
        <v>45.4</v>
      </c>
      <c r="L20" s="42">
        <v>19.399999999999999</v>
      </c>
      <c r="M20" s="6">
        <v>1269.7</v>
      </c>
      <c r="N20" s="123">
        <f t="shared" si="7"/>
        <v>2394</v>
      </c>
      <c r="O20" s="125">
        <f t="shared" si="8"/>
        <v>19.399999999999999</v>
      </c>
      <c r="P20" s="39">
        <f t="shared" si="9"/>
        <v>13.082000000000001</v>
      </c>
      <c r="Q20" s="93">
        <f t="shared" si="10"/>
        <v>0.63551129463201361</v>
      </c>
      <c r="R20" s="92">
        <f t="shared" si="11"/>
        <v>2413.4</v>
      </c>
      <c r="S20" s="95">
        <f t="shared" si="5"/>
        <v>2413.4000000000005</v>
      </c>
      <c r="T20" s="85"/>
      <c r="U20" s="85"/>
      <c r="V20" s="77"/>
    </row>
    <row r="21" spans="1:74" ht="18.75">
      <c r="A21" s="7" t="s">
        <v>69</v>
      </c>
      <c r="B21" s="89">
        <v>173</v>
      </c>
      <c r="C21" s="51">
        <v>757.6</v>
      </c>
      <c r="D21" s="51">
        <v>227.8</v>
      </c>
      <c r="E21" s="108">
        <f t="shared" si="6"/>
        <v>0</v>
      </c>
      <c r="F21" s="63"/>
      <c r="G21" s="63"/>
      <c r="H21" s="63"/>
      <c r="I21" s="64"/>
      <c r="J21" s="64"/>
      <c r="K21" s="108">
        <v>45.4</v>
      </c>
      <c r="L21" s="42">
        <v>16.899999999999999</v>
      </c>
      <c r="M21" s="6">
        <v>1132.7</v>
      </c>
      <c r="N21" s="123">
        <f t="shared" si="7"/>
        <v>2163.5</v>
      </c>
      <c r="O21" s="125">
        <f t="shared" si="8"/>
        <v>16.899999999999999</v>
      </c>
      <c r="P21" s="39">
        <f t="shared" si="9"/>
        <v>12.506</v>
      </c>
      <c r="Q21" s="93">
        <f t="shared" si="10"/>
        <v>0.60752975467573478</v>
      </c>
      <c r="R21" s="92">
        <f t="shared" si="11"/>
        <v>2180.4</v>
      </c>
      <c r="S21" s="95">
        <f t="shared" si="5"/>
        <v>2180.4000000000005</v>
      </c>
      <c r="T21" s="85"/>
      <c r="U21" s="85"/>
      <c r="V21" s="77"/>
    </row>
    <row r="22" spans="1:74" ht="18.75">
      <c r="A22" s="7" t="s">
        <v>70</v>
      </c>
      <c r="B22" s="89">
        <v>207</v>
      </c>
      <c r="C22" s="51">
        <v>805.5</v>
      </c>
      <c r="D22" s="51">
        <v>242.2</v>
      </c>
      <c r="E22" s="108">
        <f t="shared" si="6"/>
        <v>0</v>
      </c>
      <c r="F22" s="63"/>
      <c r="G22" s="63"/>
      <c r="H22" s="63"/>
      <c r="I22" s="64"/>
      <c r="J22" s="64"/>
      <c r="K22" s="108">
        <v>45.4</v>
      </c>
      <c r="L22" s="42">
        <v>23.3</v>
      </c>
      <c r="M22" s="6">
        <v>1438.6</v>
      </c>
      <c r="N22" s="123">
        <f t="shared" si="7"/>
        <v>2531.6999999999998</v>
      </c>
      <c r="O22" s="125">
        <f t="shared" si="8"/>
        <v>23.3</v>
      </c>
      <c r="P22" s="39">
        <f t="shared" si="9"/>
        <v>12.23</v>
      </c>
      <c r="Q22" s="93">
        <f t="shared" si="10"/>
        <v>0.59412193344668451</v>
      </c>
      <c r="R22" s="92">
        <f t="shared" si="11"/>
        <v>2555</v>
      </c>
      <c r="S22" s="95">
        <f t="shared" si="5"/>
        <v>2555</v>
      </c>
      <c r="T22" s="85"/>
      <c r="U22" s="85"/>
      <c r="V22" s="77"/>
    </row>
    <row r="23" spans="1:74" ht="18.75">
      <c r="A23" s="7" t="s">
        <v>71</v>
      </c>
      <c r="B23" s="89">
        <v>203</v>
      </c>
      <c r="C23" s="51">
        <v>805.5</v>
      </c>
      <c r="D23" s="51">
        <v>242.2</v>
      </c>
      <c r="E23" s="108">
        <f t="shared" si="6"/>
        <v>0</v>
      </c>
      <c r="F23" s="63"/>
      <c r="G23" s="63"/>
      <c r="H23" s="63"/>
      <c r="I23" s="64"/>
      <c r="J23" s="64"/>
      <c r="K23" s="108">
        <v>45.4</v>
      </c>
      <c r="L23" s="42">
        <v>20.399999999999999</v>
      </c>
      <c r="M23" s="6">
        <v>1423.7</v>
      </c>
      <c r="N23" s="123">
        <f t="shared" si="7"/>
        <v>2516.8000000000002</v>
      </c>
      <c r="O23" s="125">
        <f t="shared" si="8"/>
        <v>20.399999999999999</v>
      </c>
      <c r="P23" s="39">
        <f t="shared" si="9"/>
        <v>12.398</v>
      </c>
      <c r="Q23" s="93">
        <f t="shared" si="10"/>
        <v>0.60228321593393241</v>
      </c>
      <c r="R23" s="92">
        <f t="shared" si="11"/>
        <v>2537.2000000000003</v>
      </c>
      <c r="S23" s="95">
        <f t="shared" si="5"/>
        <v>2537.2000000000003</v>
      </c>
      <c r="T23" s="85"/>
      <c r="U23" s="85"/>
      <c r="V23" s="77"/>
    </row>
    <row r="24" spans="1:74" ht="18.75">
      <c r="A24" s="7" t="s">
        <v>72</v>
      </c>
      <c r="B24" s="89">
        <v>188</v>
      </c>
      <c r="C24" s="51">
        <v>805.5</v>
      </c>
      <c r="D24" s="51">
        <v>242.2</v>
      </c>
      <c r="E24" s="108">
        <f t="shared" si="6"/>
        <v>0</v>
      </c>
      <c r="F24" s="63"/>
      <c r="G24" s="63"/>
      <c r="H24" s="63"/>
      <c r="I24" s="64"/>
      <c r="J24" s="64"/>
      <c r="K24" s="108">
        <v>45.4</v>
      </c>
      <c r="L24" s="42">
        <v>21.4</v>
      </c>
      <c r="M24" s="6">
        <v>1364.5</v>
      </c>
      <c r="N24" s="123">
        <f t="shared" si="7"/>
        <v>2457.6</v>
      </c>
      <c r="O24" s="125">
        <f t="shared" si="8"/>
        <v>21.4</v>
      </c>
      <c r="P24" s="39">
        <f t="shared" si="9"/>
        <v>13.071999999999999</v>
      </c>
      <c r="Q24" s="93">
        <f t="shared" si="10"/>
        <v>0.63502550400777258</v>
      </c>
      <c r="R24" s="92">
        <f t="shared" si="11"/>
        <v>2479</v>
      </c>
      <c r="S24" s="95">
        <f t="shared" si="5"/>
        <v>2479</v>
      </c>
      <c r="T24" s="85"/>
      <c r="U24" s="85"/>
      <c r="V24" s="77"/>
    </row>
    <row r="25" spans="1:74" ht="18.75">
      <c r="A25" s="7" t="s">
        <v>73</v>
      </c>
      <c r="B25" s="89">
        <v>180</v>
      </c>
      <c r="C25" s="51">
        <v>757.6</v>
      </c>
      <c r="D25" s="51">
        <v>227.8</v>
      </c>
      <c r="E25" s="108">
        <f t="shared" si="6"/>
        <v>0</v>
      </c>
      <c r="F25" s="63"/>
      <c r="G25" s="63"/>
      <c r="H25" s="63"/>
      <c r="I25" s="64"/>
      <c r="J25" s="64"/>
      <c r="K25" s="108">
        <v>45.4</v>
      </c>
      <c r="L25" s="42">
        <v>30.8</v>
      </c>
      <c r="M25" s="6">
        <v>1110.5999999999999</v>
      </c>
      <c r="N25" s="123">
        <f t="shared" si="7"/>
        <v>2141.4</v>
      </c>
      <c r="O25" s="125">
        <f t="shared" si="8"/>
        <v>30.8</v>
      </c>
      <c r="P25" s="39">
        <f t="shared" si="9"/>
        <v>11.897</v>
      </c>
      <c r="Q25" s="93">
        <f t="shared" si="10"/>
        <v>0.57794510565946078</v>
      </c>
      <c r="R25" s="92">
        <f t="shared" si="11"/>
        <v>2172.2000000000003</v>
      </c>
      <c r="S25" s="95">
        <f t="shared" si="5"/>
        <v>2172.1999999999998</v>
      </c>
      <c r="T25" s="85"/>
      <c r="U25" s="85"/>
      <c r="V25" s="77"/>
    </row>
    <row r="26" spans="1:74" s="107" customFormat="1" ht="18.75">
      <c r="A26" s="120">
        <v>75</v>
      </c>
      <c r="B26" s="106">
        <v>93</v>
      </c>
      <c r="C26" s="52">
        <v>757.6</v>
      </c>
      <c r="D26" s="52">
        <v>227.8</v>
      </c>
      <c r="E26" s="108">
        <f t="shared" si="6"/>
        <v>0</v>
      </c>
      <c r="F26" s="65"/>
      <c r="G26" s="65"/>
      <c r="H26" s="65"/>
      <c r="I26" s="66"/>
      <c r="J26" s="66"/>
      <c r="K26" s="96">
        <v>45.4</v>
      </c>
      <c r="L26" s="42">
        <v>23.6</v>
      </c>
      <c r="M26" s="97">
        <v>719.9</v>
      </c>
      <c r="N26" s="123">
        <f t="shared" si="7"/>
        <v>1750.7</v>
      </c>
      <c r="O26" s="125">
        <f t="shared" si="8"/>
        <v>23.6</v>
      </c>
      <c r="P26" s="39">
        <f t="shared" si="9"/>
        <v>18.824999999999999</v>
      </c>
      <c r="Q26" s="93">
        <f t="shared" si="10"/>
        <v>0.91450085013359239</v>
      </c>
      <c r="R26" s="92">
        <f t="shared" si="11"/>
        <v>1774.3</v>
      </c>
      <c r="S26" s="95">
        <f t="shared" si="5"/>
        <v>1774.3000000000002</v>
      </c>
      <c r="T26" s="85"/>
      <c r="U26" s="80"/>
      <c r="V26" s="77"/>
      <c r="W26" s="80"/>
      <c r="X26" s="80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  <c r="BU26" s="87"/>
      <c r="BV26" s="87"/>
    </row>
    <row r="27" spans="1:74" s="107" customFormat="1" ht="18.75">
      <c r="A27" s="120">
        <v>80</v>
      </c>
      <c r="B27" s="106">
        <v>360</v>
      </c>
      <c r="C27" s="52">
        <v>1563.2</v>
      </c>
      <c r="D27" s="52">
        <v>470</v>
      </c>
      <c r="E27" s="108">
        <f t="shared" si="6"/>
        <v>0</v>
      </c>
      <c r="F27" s="65"/>
      <c r="G27" s="65"/>
      <c r="H27" s="65"/>
      <c r="I27" s="66"/>
      <c r="J27" s="66"/>
      <c r="K27" s="90">
        <v>70.5</v>
      </c>
      <c r="L27" s="42">
        <v>24.8</v>
      </c>
      <c r="M27" s="107">
        <v>2505.6</v>
      </c>
      <c r="N27" s="123">
        <f t="shared" si="7"/>
        <v>4609.3</v>
      </c>
      <c r="O27" s="125">
        <f t="shared" si="8"/>
        <v>24.8</v>
      </c>
      <c r="P27" s="39">
        <f t="shared" si="9"/>
        <v>12.804</v>
      </c>
      <c r="Q27" s="93">
        <f t="shared" si="10"/>
        <v>0.62200631527811512</v>
      </c>
      <c r="R27" s="92">
        <f t="shared" si="11"/>
        <v>4634.1000000000004</v>
      </c>
      <c r="S27" s="95">
        <f t="shared" si="5"/>
        <v>4634.1000000000004</v>
      </c>
      <c r="T27" s="85"/>
      <c r="U27" s="80"/>
      <c r="V27" s="77"/>
      <c r="W27" s="80"/>
      <c r="X27" s="80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  <c r="BU27" s="87"/>
      <c r="BV27" s="87"/>
    </row>
    <row r="28" spans="1:74" ht="18.75">
      <c r="A28" s="7" t="s">
        <v>74</v>
      </c>
      <c r="B28" s="89">
        <v>166</v>
      </c>
      <c r="C28" s="51">
        <v>757.6</v>
      </c>
      <c r="D28" s="51">
        <v>227.8</v>
      </c>
      <c r="E28" s="108">
        <f t="shared" si="6"/>
        <v>0</v>
      </c>
      <c r="F28" s="63"/>
      <c r="G28" s="63"/>
      <c r="H28" s="63"/>
      <c r="I28" s="64"/>
      <c r="J28" s="64"/>
      <c r="K28" s="108">
        <v>44.2</v>
      </c>
      <c r="L28" s="42">
        <v>22.1</v>
      </c>
      <c r="M28" s="6">
        <v>1028.7</v>
      </c>
      <c r="N28" s="123">
        <f t="shared" si="7"/>
        <v>2058.3000000000002</v>
      </c>
      <c r="O28" s="125">
        <f t="shared" si="8"/>
        <v>22.1</v>
      </c>
      <c r="P28" s="39">
        <f t="shared" si="9"/>
        <v>12.398999999999999</v>
      </c>
      <c r="Q28" s="93">
        <f t="shared" si="10"/>
        <v>0.60233179499635647</v>
      </c>
      <c r="R28" s="92">
        <f t="shared" si="11"/>
        <v>2080.4</v>
      </c>
      <c r="S28" s="95">
        <f t="shared" si="5"/>
        <v>2080.4</v>
      </c>
      <c r="T28" s="85"/>
      <c r="V28" s="77"/>
    </row>
    <row r="29" spans="1:74" s="107" customFormat="1" ht="18.75">
      <c r="A29" s="120">
        <v>85</v>
      </c>
      <c r="B29" s="106">
        <v>87</v>
      </c>
      <c r="C29" s="52">
        <v>757.6</v>
      </c>
      <c r="D29" s="52">
        <v>227.8</v>
      </c>
      <c r="E29" s="108">
        <f t="shared" si="6"/>
        <v>0</v>
      </c>
      <c r="F29" s="65"/>
      <c r="G29" s="65"/>
      <c r="H29" s="65"/>
      <c r="I29" s="66"/>
      <c r="J29" s="66"/>
      <c r="K29" s="96">
        <v>45.4</v>
      </c>
      <c r="L29" s="42">
        <v>26.9</v>
      </c>
      <c r="M29" s="97">
        <v>857.5</v>
      </c>
      <c r="N29" s="123">
        <f t="shared" si="7"/>
        <v>1888.3</v>
      </c>
      <c r="O29" s="125">
        <f t="shared" si="8"/>
        <v>26.9</v>
      </c>
      <c r="P29" s="39">
        <f t="shared" si="9"/>
        <v>21.704999999999998</v>
      </c>
      <c r="Q29" s="93">
        <f t="shared" si="10"/>
        <v>1.0544085499149864</v>
      </c>
      <c r="R29" s="92">
        <f t="shared" si="11"/>
        <v>1915.2</v>
      </c>
      <c r="S29" s="95">
        <f t="shared" ref="S29:S92" si="12">SUM(C29:M29)</f>
        <v>1915.2000000000003</v>
      </c>
      <c r="T29" s="85"/>
      <c r="U29" s="80"/>
      <c r="V29" s="77"/>
      <c r="W29" s="80"/>
      <c r="X29" s="80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  <c r="BU29" s="87"/>
      <c r="BV29" s="87"/>
    </row>
    <row r="30" spans="1:74" s="107" customFormat="1" ht="18.75">
      <c r="A30" s="120">
        <v>104</v>
      </c>
      <c r="B30" s="106">
        <v>270</v>
      </c>
      <c r="C30" s="52">
        <v>1045.2</v>
      </c>
      <c r="D30" s="52">
        <v>314.2</v>
      </c>
      <c r="E30" s="108">
        <f t="shared" si="6"/>
        <v>1030</v>
      </c>
      <c r="F30" s="42">
        <v>442</v>
      </c>
      <c r="G30" s="42">
        <v>453.4</v>
      </c>
      <c r="H30" s="42">
        <v>134.60000000000002</v>
      </c>
      <c r="I30" s="66"/>
      <c r="J30" s="66"/>
      <c r="K30" s="96">
        <v>52.2</v>
      </c>
      <c r="L30" s="42">
        <v>45.8</v>
      </c>
      <c r="M30" s="97">
        <v>1823.3</v>
      </c>
      <c r="N30" s="123">
        <f t="shared" si="7"/>
        <v>3994</v>
      </c>
      <c r="O30" s="125">
        <f t="shared" si="8"/>
        <v>316.7</v>
      </c>
      <c r="P30" s="39">
        <f t="shared" si="9"/>
        <v>14.792999999999999</v>
      </c>
      <c r="Q30" s="93">
        <f t="shared" si="10"/>
        <v>0.71863007043964044</v>
      </c>
      <c r="R30" s="92">
        <f t="shared" si="11"/>
        <v>4310.7</v>
      </c>
      <c r="S30" s="95">
        <f t="shared" si="12"/>
        <v>5340.7</v>
      </c>
      <c r="T30" s="85"/>
      <c r="U30" s="80"/>
      <c r="V30" s="77"/>
      <c r="W30" s="80"/>
      <c r="X30" s="80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  <c r="BU30" s="87"/>
      <c r="BV30" s="87"/>
    </row>
    <row r="31" spans="1:74" s="107" customFormat="1" ht="18.75">
      <c r="A31" s="120">
        <v>106</v>
      </c>
      <c r="B31" s="106">
        <v>66</v>
      </c>
      <c r="C31" s="52">
        <v>709.6</v>
      </c>
      <c r="D31" s="52">
        <v>213.3</v>
      </c>
      <c r="E31" s="108">
        <f t="shared" si="6"/>
        <v>0</v>
      </c>
      <c r="F31" s="65"/>
      <c r="G31" s="65"/>
      <c r="H31" s="65"/>
      <c r="I31" s="66"/>
      <c r="J31" s="66"/>
      <c r="K31" s="96">
        <v>38.299999999999997</v>
      </c>
      <c r="L31" s="42">
        <v>15.3</v>
      </c>
      <c r="M31" s="97">
        <v>498.4</v>
      </c>
      <c r="N31" s="123">
        <f t="shared" si="7"/>
        <v>1459.6</v>
      </c>
      <c r="O31" s="125">
        <f t="shared" si="8"/>
        <v>15.3</v>
      </c>
      <c r="P31" s="39">
        <f t="shared" si="9"/>
        <v>22.114999999999998</v>
      </c>
      <c r="Q31" s="93">
        <f t="shared" si="10"/>
        <v>1.0743259655088655</v>
      </c>
      <c r="R31" s="92">
        <f t="shared" si="11"/>
        <v>1474.8999999999999</v>
      </c>
      <c r="S31" s="95">
        <f t="shared" si="12"/>
        <v>1474.9</v>
      </c>
      <c r="T31" s="85"/>
      <c r="U31" s="80"/>
      <c r="V31" s="77"/>
      <c r="W31" s="80"/>
      <c r="X31" s="80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</row>
    <row r="32" spans="1:74" ht="18.75">
      <c r="A32" s="7" t="s">
        <v>75</v>
      </c>
      <c r="B32" s="89">
        <v>308</v>
      </c>
      <c r="C32" s="51">
        <v>1515.2</v>
      </c>
      <c r="D32" s="51">
        <v>455.5</v>
      </c>
      <c r="E32" s="108">
        <f t="shared" si="6"/>
        <v>1174.0000000000002</v>
      </c>
      <c r="F32" s="42">
        <v>533.20000000000005</v>
      </c>
      <c r="G32" s="42">
        <v>513.1</v>
      </c>
      <c r="H32" s="42">
        <v>127.7</v>
      </c>
      <c r="I32" s="64"/>
      <c r="J32" s="64"/>
      <c r="K32" s="108">
        <v>64</v>
      </c>
      <c r="L32" s="42">
        <v>55.4</v>
      </c>
      <c r="M32" s="6">
        <v>2052.8000000000002</v>
      </c>
      <c r="N32" s="123">
        <f t="shared" si="7"/>
        <v>4951.6000000000004</v>
      </c>
      <c r="O32" s="125">
        <f t="shared" si="8"/>
        <v>365.3</v>
      </c>
      <c r="P32" s="39">
        <f t="shared" si="9"/>
        <v>16.077000000000002</v>
      </c>
      <c r="Q32" s="93">
        <f t="shared" si="10"/>
        <v>0.78100558659217878</v>
      </c>
      <c r="R32" s="92">
        <f t="shared" si="11"/>
        <v>5316.9000000000005</v>
      </c>
      <c r="S32" s="95">
        <f t="shared" si="12"/>
        <v>6490.9000000000005</v>
      </c>
      <c r="T32" s="85"/>
      <c r="V32" s="77"/>
    </row>
    <row r="33" spans="1:74" ht="18.75">
      <c r="A33" s="7" t="s">
        <v>76</v>
      </c>
      <c r="B33" s="89">
        <v>176</v>
      </c>
      <c r="C33" s="51">
        <v>757.6</v>
      </c>
      <c r="D33" s="51">
        <v>227.8</v>
      </c>
      <c r="E33" s="108">
        <f t="shared" si="6"/>
        <v>714.40000000000009</v>
      </c>
      <c r="F33" s="42">
        <v>312</v>
      </c>
      <c r="G33" s="42">
        <v>262.7</v>
      </c>
      <c r="H33" s="42">
        <v>139.69999999999999</v>
      </c>
      <c r="I33" s="64"/>
      <c r="J33" s="64"/>
      <c r="K33" s="108">
        <v>45.4</v>
      </c>
      <c r="L33" s="42">
        <v>19</v>
      </c>
      <c r="M33" s="6">
        <v>1159.2</v>
      </c>
      <c r="N33" s="123">
        <f t="shared" si="7"/>
        <v>2741.9</v>
      </c>
      <c r="O33" s="125">
        <f t="shared" si="8"/>
        <v>181.6</v>
      </c>
      <c r="P33" s="39">
        <f t="shared" si="9"/>
        <v>15.579000000000001</v>
      </c>
      <c r="Q33" s="93">
        <f t="shared" si="10"/>
        <v>0.75681321350497932</v>
      </c>
      <c r="R33" s="92">
        <f t="shared" si="11"/>
        <v>2923.5</v>
      </c>
      <c r="S33" s="95">
        <f t="shared" si="12"/>
        <v>3637.8</v>
      </c>
      <c r="T33" s="85"/>
      <c r="V33" s="77"/>
    </row>
    <row r="34" spans="1:74" s="107" customFormat="1" ht="18.75">
      <c r="A34" s="120">
        <v>123</v>
      </c>
      <c r="B34" s="106">
        <v>181</v>
      </c>
      <c r="C34" s="52">
        <v>805.5</v>
      </c>
      <c r="D34" s="52">
        <v>242.2</v>
      </c>
      <c r="E34" s="108">
        <f t="shared" si="6"/>
        <v>703.2</v>
      </c>
      <c r="F34" s="42">
        <v>396.6</v>
      </c>
      <c r="G34" s="42">
        <v>233.5</v>
      </c>
      <c r="H34" s="42">
        <v>73.099999999999994</v>
      </c>
      <c r="I34" s="66"/>
      <c r="J34" s="66"/>
      <c r="K34" s="96">
        <v>45.4</v>
      </c>
      <c r="L34" s="42">
        <v>20</v>
      </c>
      <c r="M34" s="97">
        <v>1134.5999999999999</v>
      </c>
      <c r="N34" s="123">
        <f t="shared" si="7"/>
        <v>2774.5</v>
      </c>
      <c r="O34" s="125">
        <f t="shared" si="8"/>
        <v>176.4</v>
      </c>
      <c r="P34" s="39">
        <f t="shared" si="9"/>
        <v>15.329000000000001</v>
      </c>
      <c r="Q34" s="93">
        <f t="shared" si="10"/>
        <v>0.74466844789895559</v>
      </c>
      <c r="R34" s="92">
        <f t="shared" si="11"/>
        <v>2950.9</v>
      </c>
      <c r="S34" s="95">
        <f t="shared" si="12"/>
        <v>3654.1</v>
      </c>
      <c r="T34" s="85"/>
      <c r="U34" s="80"/>
      <c r="V34" s="77"/>
      <c r="W34" s="80"/>
      <c r="X34" s="80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  <c r="BU34" s="87"/>
      <c r="BV34" s="87"/>
    </row>
    <row r="35" spans="1:74" ht="18.75">
      <c r="A35" s="7" t="s">
        <v>77</v>
      </c>
      <c r="B35" s="89">
        <v>215</v>
      </c>
      <c r="C35" s="51">
        <v>805.5</v>
      </c>
      <c r="D35" s="51">
        <v>242.2</v>
      </c>
      <c r="E35" s="108">
        <f t="shared" si="6"/>
        <v>0</v>
      </c>
      <c r="F35" s="63"/>
      <c r="G35" s="63"/>
      <c r="H35" s="63"/>
      <c r="I35" s="64"/>
      <c r="J35" s="64"/>
      <c r="K35" s="108">
        <v>45.4</v>
      </c>
      <c r="L35" s="42">
        <v>28.2</v>
      </c>
      <c r="M35" s="6">
        <v>1352.3</v>
      </c>
      <c r="N35" s="123">
        <f t="shared" si="7"/>
        <v>2445.4</v>
      </c>
      <c r="O35" s="125">
        <f t="shared" si="8"/>
        <v>28.2</v>
      </c>
      <c r="P35" s="39">
        <f t="shared" si="9"/>
        <v>11.374000000000001</v>
      </c>
      <c r="Q35" s="93">
        <f t="shared" si="10"/>
        <v>0.55253825601165896</v>
      </c>
      <c r="R35" s="92">
        <f t="shared" si="11"/>
        <v>2473.6</v>
      </c>
      <c r="S35" s="95">
        <f t="shared" si="12"/>
        <v>2473.6000000000004</v>
      </c>
      <c r="T35" s="85"/>
      <c r="V35" s="77"/>
    </row>
    <row r="36" spans="1:74" ht="18.75">
      <c r="A36" s="7" t="s">
        <v>78</v>
      </c>
      <c r="B36" s="89">
        <v>177</v>
      </c>
      <c r="C36" s="51">
        <v>805.5</v>
      </c>
      <c r="D36" s="51">
        <v>242.2</v>
      </c>
      <c r="E36" s="108">
        <f t="shared" si="6"/>
        <v>0</v>
      </c>
      <c r="F36" s="63"/>
      <c r="G36" s="63"/>
      <c r="H36" s="63"/>
      <c r="I36" s="64"/>
      <c r="J36" s="64"/>
      <c r="K36" s="108">
        <v>45.4</v>
      </c>
      <c r="L36" s="42">
        <v>24.8</v>
      </c>
      <c r="M36" s="6">
        <v>1081.9000000000001</v>
      </c>
      <c r="N36" s="123">
        <f t="shared" si="7"/>
        <v>2175</v>
      </c>
      <c r="O36" s="125">
        <f t="shared" si="8"/>
        <v>24.8</v>
      </c>
      <c r="P36" s="39">
        <f t="shared" si="9"/>
        <v>12.288</v>
      </c>
      <c r="Q36" s="93">
        <f t="shared" si="10"/>
        <v>0.59693951906728204</v>
      </c>
      <c r="R36" s="92">
        <f t="shared" si="11"/>
        <v>2199.8000000000002</v>
      </c>
      <c r="S36" s="95">
        <f t="shared" si="12"/>
        <v>2199.8000000000002</v>
      </c>
      <c r="T36" s="85"/>
      <c r="V36" s="77"/>
    </row>
    <row r="37" spans="1:74" ht="18.75">
      <c r="A37" s="7" t="s">
        <v>79</v>
      </c>
      <c r="B37" s="89">
        <v>179</v>
      </c>
      <c r="C37" s="51">
        <v>757.6</v>
      </c>
      <c r="D37" s="51">
        <v>227.8</v>
      </c>
      <c r="E37" s="108">
        <f t="shared" si="6"/>
        <v>0</v>
      </c>
      <c r="F37" s="63"/>
      <c r="G37" s="63"/>
      <c r="H37" s="63"/>
      <c r="I37" s="64"/>
      <c r="J37" s="64"/>
      <c r="K37" s="108">
        <v>45.4</v>
      </c>
      <c r="L37" s="42">
        <v>55.8</v>
      </c>
      <c r="M37" s="6">
        <v>1229.4000000000001</v>
      </c>
      <c r="N37" s="123">
        <f t="shared" si="7"/>
        <v>2260.1999999999998</v>
      </c>
      <c r="O37" s="125">
        <f t="shared" si="8"/>
        <v>55.8</v>
      </c>
      <c r="P37" s="39">
        <f t="shared" si="9"/>
        <v>12.627000000000001</v>
      </c>
      <c r="Q37" s="93">
        <f t="shared" si="10"/>
        <v>0.61340782122905024</v>
      </c>
      <c r="R37" s="92">
        <f t="shared" si="11"/>
        <v>2316</v>
      </c>
      <c r="S37" s="95">
        <f t="shared" si="12"/>
        <v>2316</v>
      </c>
      <c r="T37" s="85"/>
      <c r="V37" s="77"/>
    </row>
    <row r="38" spans="1:74" s="107" customFormat="1" ht="18.75">
      <c r="A38" s="120">
        <v>139</v>
      </c>
      <c r="B38" s="106">
        <v>92</v>
      </c>
      <c r="C38" s="52">
        <v>757.6</v>
      </c>
      <c r="D38" s="52">
        <v>227.8</v>
      </c>
      <c r="E38" s="108">
        <f t="shared" si="6"/>
        <v>0</v>
      </c>
      <c r="F38" s="65"/>
      <c r="G38" s="65"/>
      <c r="H38" s="65"/>
      <c r="I38" s="66"/>
      <c r="J38" s="66"/>
      <c r="K38" s="96">
        <v>45.4</v>
      </c>
      <c r="L38" s="42">
        <v>25.3</v>
      </c>
      <c r="M38" s="97">
        <v>726.4</v>
      </c>
      <c r="N38" s="123">
        <f t="shared" si="7"/>
        <v>1757.2</v>
      </c>
      <c r="O38" s="125">
        <f t="shared" si="8"/>
        <v>25.3</v>
      </c>
      <c r="P38" s="39">
        <f t="shared" si="9"/>
        <v>19.100000000000001</v>
      </c>
      <c r="Q38" s="93">
        <f t="shared" si="10"/>
        <v>0.9278600923002186</v>
      </c>
      <c r="R38" s="92">
        <f t="shared" si="11"/>
        <v>1782.5</v>
      </c>
      <c r="S38" s="95">
        <f t="shared" si="12"/>
        <v>1782.5</v>
      </c>
      <c r="T38" s="85"/>
      <c r="U38" s="80"/>
      <c r="V38" s="77"/>
      <c r="W38" s="80"/>
      <c r="X38" s="80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</row>
    <row r="39" spans="1:74" ht="18.75">
      <c r="A39" s="7" t="s">
        <v>80</v>
      </c>
      <c r="B39" s="89">
        <v>212</v>
      </c>
      <c r="C39" s="51">
        <v>901.4</v>
      </c>
      <c r="D39" s="51">
        <v>271</v>
      </c>
      <c r="E39" s="108">
        <f t="shared" si="6"/>
        <v>0</v>
      </c>
      <c r="F39" s="63"/>
      <c r="G39" s="63"/>
      <c r="H39" s="63"/>
      <c r="I39" s="64"/>
      <c r="J39" s="64"/>
      <c r="K39" s="108">
        <v>45.4</v>
      </c>
      <c r="L39" s="42">
        <v>26.5</v>
      </c>
      <c r="M39" s="6">
        <v>1285.4000000000001</v>
      </c>
      <c r="N39" s="123">
        <f t="shared" si="7"/>
        <v>2503.1999999999998</v>
      </c>
      <c r="O39" s="125">
        <f t="shared" si="8"/>
        <v>26.5</v>
      </c>
      <c r="P39" s="39">
        <f t="shared" si="9"/>
        <v>11.808</v>
      </c>
      <c r="Q39" s="93">
        <f t="shared" si="10"/>
        <v>0.57362156910371631</v>
      </c>
      <c r="R39" s="92">
        <f t="shared" si="11"/>
        <v>2529.6999999999998</v>
      </c>
      <c r="S39" s="95">
        <f t="shared" si="12"/>
        <v>2529.7000000000003</v>
      </c>
      <c r="T39" s="85"/>
      <c r="V39" s="77"/>
    </row>
    <row r="40" spans="1:74" ht="18.75">
      <c r="A40" s="7" t="s">
        <v>81</v>
      </c>
      <c r="B40" s="89">
        <v>179</v>
      </c>
      <c r="C40" s="51">
        <v>757.6</v>
      </c>
      <c r="D40" s="51">
        <v>227.8</v>
      </c>
      <c r="E40" s="108">
        <f t="shared" si="6"/>
        <v>0</v>
      </c>
      <c r="F40" s="63"/>
      <c r="G40" s="63"/>
      <c r="H40" s="63"/>
      <c r="I40" s="64"/>
      <c r="J40" s="64"/>
      <c r="K40" s="108">
        <v>45.4</v>
      </c>
      <c r="L40" s="42">
        <v>32.299999999999997</v>
      </c>
      <c r="M40" s="6">
        <v>1268.3</v>
      </c>
      <c r="N40" s="123">
        <f t="shared" si="7"/>
        <v>2299.1</v>
      </c>
      <c r="O40" s="125">
        <f t="shared" si="8"/>
        <v>32.299999999999997</v>
      </c>
      <c r="P40" s="39">
        <f t="shared" si="9"/>
        <v>12.843999999999999</v>
      </c>
      <c r="Q40" s="93">
        <f t="shared" si="10"/>
        <v>0.62394947777507892</v>
      </c>
      <c r="R40" s="92">
        <f t="shared" si="11"/>
        <v>2331.4</v>
      </c>
      <c r="S40" s="95">
        <f t="shared" si="12"/>
        <v>2331.4</v>
      </c>
      <c r="T40" s="85"/>
      <c r="V40" s="77"/>
    </row>
    <row r="41" spans="1:74" ht="18.75">
      <c r="A41" s="7" t="s">
        <v>82</v>
      </c>
      <c r="B41" s="89">
        <v>195</v>
      </c>
      <c r="C41" s="51">
        <v>805.5</v>
      </c>
      <c r="D41" s="51">
        <v>242.2</v>
      </c>
      <c r="E41" s="108">
        <f t="shared" si="6"/>
        <v>0</v>
      </c>
      <c r="F41" s="63"/>
      <c r="G41" s="63"/>
      <c r="H41" s="63"/>
      <c r="I41" s="64"/>
      <c r="J41" s="64"/>
      <c r="K41" s="108">
        <v>45.4</v>
      </c>
      <c r="L41" s="42">
        <v>30.6</v>
      </c>
      <c r="M41" s="6">
        <v>1270.4000000000001</v>
      </c>
      <c r="N41" s="123">
        <f t="shared" si="7"/>
        <v>2363.5</v>
      </c>
      <c r="O41" s="125">
        <f t="shared" si="8"/>
        <v>30.6</v>
      </c>
      <c r="P41" s="39">
        <f t="shared" si="9"/>
        <v>12.121</v>
      </c>
      <c r="Q41" s="93">
        <f t="shared" si="10"/>
        <v>0.58882681564245809</v>
      </c>
      <c r="R41" s="92">
        <f t="shared" si="11"/>
        <v>2394.1</v>
      </c>
      <c r="S41" s="95">
        <f t="shared" si="12"/>
        <v>2394.1000000000004</v>
      </c>
      <c r="T41" s="85"/>
      <c r="V41" s="77"/>
    </row>
    <row r="42" spans="1:74" s="107" customFormat="1" ht="18.75">
      <c r="A42" s="120">
        <v>153</v>
      </c>
      <c r="B42" s="106">
        <v>177</v>
      </c>
      <c r="C42" s="52">
        <v>853.4</v>
      </c>
      <c r="D42" s="52">
        <v>256.60000000000002</v>
      </c>
      <c r="E42" s="108">
        <f t="shared" si="6"/>
        <v>0</v>
      </c>
      <c r="F42" s="65"/>
      <c r="G42" s="65"/>
      <c r="H42" s="65"/>
      <c r="I42" s="66"/>
      <c r="J42" s="66"/>
      <c r="K42" s="96">
        <v>45.4</v>
      </c>
      <c r="L42" s="42">
        <v>30.9</v>
      </c>
      <c r="M42" s="97">
        <v>1225.4000000000001</v>
      </c>
      <c r="N42" s="123">
        <f t="shared" si="7"/>
        <v>2380.8000000000002</v>
      </c>
      <c r="O42" s="125">
        <f t="shared" si="8"/>
        <v>30.9</v>
      </c>
      <c r="P42" s="39">
        <f t="shared" si="9"/>
        <v>13.451000000000001</v>
      </c>
      <c r="Q42" s="93">
        <f t="shared" si="10"/>
        <v>0.65343696866650469</v>
      </c>
      <c r="R42" s="92">
        <f t="shared" si="11"/>
        <v>2411.7000000000003</v>
      </c>
      <c r="S42" s="95">
        <f t="shared" si="12"/>
        <v>2411.7000000000003</v>
      </c>
      <c r="T42" s="85"/>
      <c r="U42" s="80"/>
      <c r="V42" s="77"/>
      <c r="W42" s="80"/>
      <c r="X42" s="80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  <c r="BU42" s="87"/>
      <c r="BV42" s="87"/>
    </row>
    <row r="43" spans="1:74" ht="18.75">
      <c r="A43" s="7" t="s">
        <v>83</v>
      </c>
      <c r="B43" s="89">
        <v>195</v>
      </c>
      <c r="C43" s="51">
        <v>829.5</v>
      </c>
      <c r="D43" s="51">
        <v>249.4</v>
      </c>
      <c r="E43" s="108">
        <f t="shared" si="6"/>
        <v>0</v>
      </c>
      <c r="F43" s="63"/>
      <c r="G43" s="63"/>
      <c r="H43" s="63"/>
      <c r="I43" s="64"/>
      <c r="J43" s="64"/>
      <c r="K43" s="108">
        <v>45.4</v>
      </c>
      <c r="L43" s="42">
        <v>31</v>
      </c>
      <c r="M43" s="6">
        <v>1210.0999999999999</v>
      </c>
      <c r="N43" s="123">
        <f t="shared" si="7"/>
        <v>2334.4</v>
      </c>
      <c r="O43" s="125">
        <f t="shared" si="8"/>
        <v>31</v>
      </c>
      <c r="P43" s="39">
        <f t="shared" si="9"/>
        <v>11.971</v>
      </c>
      <c r="Q43" s="93">
        <f t="shared" si="10"/>
        <v>0.58153995627884381</v>
      </c>
      <c r="R43" s="92">
        <f t="shared" si="11"/>
        <v>2365.4</v>
      </c>
      <c r="S43" s="95">
        <f t="shared" si="12"/>
        <v>2365.4</v>
      </c>
      <c r="T43" s="85"/>
      <c r="V43" s="77"/>
    </row>
    <row r="44" spans="1:74" ht="18.75">
      <c r="A44" s="7" t="s">
        <v>84</v>
      </c>
      <c r="B44" s="89">
        <v>179</v>
      </c>
      <c r="C44" s="51">
        <v>757.6</v>
      </c>
      <c r="D44" s="51">
        <v>227.8</v>
      </c>
      <c r="E44" s="108">
        <f t="shared" si="6"/>
        <v>0</v>
      </c>
      <c r="F44" s="63"/>
      <c r="G44" s="63"/>
      <c r="H44" s="63"/>
      <c r="I44" s="64"/>
      <c r="J44" s="64"/>
      <c r="K44" s="108">
        <v>45.4</v>
      </c>
      <c r="L44" s="42">
        <v>33.6</v>
      </c>
      <c r="M44" s="6">
        <v>1234.5999999999999</v>
      </c>
      <c r="N44" s="123">
        <f t="shared" si="7"/>
        <v>2265.4</v>
      </c>
      <c r="O44" s="125">
        <f t="shared" si="8"/>
        <v>33.6</v>
      </c>
      <c r="P44" s="39">
        <f t="shared" si="9"/>
        <v>12.656000000000001</v>
      </c>
      <c r="Q44" s="93">
        <f t="shared" si="10"/>
        <v>0.61481661403934906</v>
      </c>
      <c r="R44" s="92">
        <f t="shared" si="11"/>
        <v>2299</v>
      </c>
      <c r="S44" s="95">
        <f t="shared" si="12"/>
        <v>2299</v>
      </c>
      <c r="T44" s="85"/>
      <c r="V44" s="77"/>
    </row>
    <row r="45" spans="1:74" s="107" customFormat="1" ht="18.75">
      <c r="A45" s="120">
        <v>167</v>
      </c>
      <c r="B45" s="106">
        <v>179</v>
      </c>
      <c r="C45" s="52">
        <v>829.5</v>
      </c>
      <c r="D45" s="52">
        <v>249.4</v>
      </c>
      <c r="E45" s="108">
        <f t="shared" si="6"/>
        <v>0</v>
      </c>
      <c r="F45" s="65"/>
      <c r="G45" s="65"/>
      <c r="H45" s="65"/>
      <c r="I45" s="66"/>
      <c r="J45" s="66"/>
      <c r="K45" s="96">
        <v>45.4</v>
      </c>
      <c r="L45" s="42">
        <v>29</v>
      </c>
      <c r="M45" s="97">
        <v>1128.8</v>
      </c>
      <c r="N45" s="123">
        <f t="shared" si="7"/>
        <v>2253.1</v>
      </c>
      <c r="O45" s="125">
        <f t="shared" si="8"/>
        <v>29</v>
      </c>
      <c r="P45" s="39">
        <f t="shared" si="9"/>
        <v>12.587</v>
      </c>
      <c r="Q45" s="93">
        <f t="shared" si="10"/>
        <v>0.61146465873208644</v>
      </c>
      <c r="R45" s="92">
        <f t="shared" si="11"/>
        <v>2282.1</v>
      </c>
      <c r="S45" s="95">
        <f t="shared" si="12"/>
        <v>2282.1000000000004</v>
      </c>
      <c r="T45" s="85"/>
      <c r="U45" s="80"/>
      <c r="V45" s="77"/>
      <c r="W45" s="80"/>
      <c r="X45" s="80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  <c r="BU45" s="87"/>
      <c r="BV45" s="87"/>
    </row>
    <row r="46" spans="1:74" ht="18.75">
      <c r="A46" s="7" t="s">
        <v>85</v>
      </c>
      <c r="B46" s="89">
        <v>230</v>
      </c>
      <c r="C46" s="51">
        <v>829.5</v>
      </c>
      <c r="D46" s="51">
        <v>249.4</v>
      </c>
      <c r="E46" s="108">
        <f t="shared" si="6"/>
        <v>0</v>
      </c>
      <c r="F46" s="63"/>
      <c r="G46" s="63"/>
      <c r="H46" s="63"/>
      <c r="I46" s="64"/>
      <c r="J46" s="64"/>
      <c r="K46" s="108">
        <v>45.4</v>
      </c>
      <c r="L46" s="42">
        <v>74.8</v>
      </c>
      <c r="M46" s="6">
        <v>1536.8</v>
      </c>
      <c r="N46" s="123">
        <f t="shared" si="7"/>
        <v>2661.1</v>
      </c>
      <c r="O46" s="125">
        <f t="shared" si="8"/>
        <v>74.8</v>
      </c>
      <c r="P46" s="39">
        <f t="shared" si="9"/>
        <v>11.57</v>
      </c>
      <c r="Q46" s="93">
        <f t="shared" si="10"/>
        <v>0.56205975224678162</v>
      </c>
      <c r="R46" s="92">
        <f t="shared" si="11"/>
        <v>2735.9</v>
      </c>
      <c r="S46" s="95">
        <f t="shared" si="12"/>
        <v>2735.9</v>
      </c>
      <c r="T46" s="85"/>
      <c r="V46" s="77"/>
    </row>
    <row r="47" spans="1:74" ht="18.75">
      <c r="A47" s="7" t="s">
        <v>86</v>
      </c>
      <c r="B47" s="89">
        <v>211</v>
      </c>
      <c r="C47" s="51">
        <v>901.4</v>
      </c>
      <c r="D47" s="51">
        <v>271</v>
      </c>
      <c r="E47" s="108">
        <f t="shared" si="6"/>
        <v>0</v>
      </c>
      <c r="F47" s="63"/>
      <c r="G47" s="63"/>
      <c r="H47" s="63"/>
      <c r="I47" s="64"/>
      <c r="J47" s="64"/>
      <c r="K47" s="108">
        <v>45.4</v>
      </c>
      <c r="L47" s="42">
        <v>31.6</v>
      </c>
      <c r="M47" s="6">
        <v>1458.2</v>
      </c>
      <c r="N47" s="123">
        <f t="shared" si="7"/>
        <v>2676</v>
      </c>
      <c r="O47" s="125">
        <f t="shared" si="8"/>
        <v>31.6</v>
      </c>
      <c r="P47" s="39">
        <f t="shared" si="9"/>
        <v>12.682</v>
      </c>
      <c r="Q47" s="93">
        <f t="shared" si="10"/>
        <v>0.61607966966237548</v>
      </c>
      <c r="R47" s="92">
        <f t="shared" si="11"/>
        <v>2707.6</v>
      </c>
      <c r="S47" s="95">
        <f t="shared" si="12"/>
        <v>2707.6000000000004</v>
      </c>
      <c r="T47" s="85"/>
      <c r="V47" s="77"/>
    </row>
    <row r="48" spans="1:74" ht="18.75">
      <c r="A48" s="7" t="s">
        <v>87</v>
      </c>
      <c r="B48" s="89">
        <v>169</v>
      </c>
      <c r="C48" s="51">
        <v>757.6</v>
      </c>
      <c r="D48" s="51">
        <v>227.8</v>
      </c>
      <c r="E48" s="108">
        <f t="shared" si="6"/>
        <v>0</v>
      </c>
      <c r="F48" s="63"/>
      <c r="G48" s="63"/>
      <c r="H48" s="63"/>
      <c r="I48" s="64"/>
      <c r="J48" s="64"/>
      <c r="K48" s="108">
        <v>45.4</v>
      </c>
      <c r="L48" s="42">
        <v>0</v>
      </c>
      <c r="M48" s="6">
        <v>1078.0999999999999</v>
      </c>
      <c r="N48" s="123">
        <f t="shared" si="7"/>
        <v>2108.9</v>
      </c>
      <c r="O48" s="125">
        <f t="shared" si="8"/>
        <v>0</v>
      </c>
      <c r="P48" s="39">
        <f t="shared" si="9"/>
        <v>12.478999999999999</v>
      </c>
      <c r="Q48" s="93">
        <f t="shared" si="10"/>
        <v>0.60621811999028408</v>
      </c>
      <c r="R48" s="92">
        <f t="shared" si="11"/>
        <v>2108.9</v>
      </c>
      <c r="S48" s="95">
        <f t="shared" si="12"/>
        <v>2108.9</v>
      </c>
      <c r="T48" s="85"/>
      <c r="V48" s="77"/>
    </row>
    <row r="49" spans="1:74" ht="18.75">
      <c r="A49" s="7" t="s">
        <v>88</v>
      </c>
      <c r="B49" s="89">
        <v>198</v>
      </c>
      <c r="C49" s="51">
        <v>829.5</v>
      </c>
      <c r="D49" s="51">
        <v>249.4</v>
      </c>
      <c r="E49" s="108">
        <f t="shared" si="6"/>
        <v>0</v>
      </c>
      <c r="F49" s="63"/>
      <c r="G49" s="63"/>
      <c r="H49" s="63"/>
      <c r="I49" s="64"/>
      <c r="J49" s="64"/>
      <c r="K49" s="108">
        <v>45.4</v>
      </c>
      <c r="L49" s="42">
        <v>31.8</v>
      </c>
      <c r="M49" s="6">
        <v>1327.5</v>
      </c>
      <c r="N49" s="123">
        <f t="shared" si="7"/>
        <v>2451.8000000000002</v>
      </c>
      <c r="O49" s="125">
        <f t="shared" si="8"/>
        <v>31.8</v>
      </c>
      <c r="P49" s="39">
        <f t="shared" si="9"/>
        <v>12.382999999999999</v>
      </c>
      <c r="Q49" s="93">
        <f t="shared" si="10"/>
        <v>0.60155452999757097</v>
      </c>
      <c r="R49" s="92">
        <f t="shared" si="11"/>
        <v>2483.6000000000004</v>
      </c>
      <c r="S49" s="95">
        <f t="shared" si="12"/>
        <v>2483.6000000000004</v>
      </c>
      <c r="T49" s="85"/>
      <c r="V49" s="77"/>
    </row>
    <row r="50" spans="1:74" s="107" customFormat="1" ht="18.75">
      <c r="A50" s="120">
        <v>185</v>
      </c>
      <c r="B50" s="106">
        <v>156</v>
      </c>
      <c r="C50" s="52">
        <v>757.6</v>
      </c>
      <c r="D50" s="52">
        <v>227.8</v>
      </c>
      <c r="E50" s="108">
        <f t="shared" si="6"/>
        <v>0</v>
      </c>
      <c r="F50" s="65"/>
      <c r="G50" s="65"/>
      <c r="H50" s="65"/>
      <c r="I50" s="66"/>
      <c r="J50" s="66"/>
      <c r="K50" s="96">
        <v>45.4</v>
      </c>
      <c r="L50" s="42">
        <v>27.4</v>
      </c>
      <c r="M50" s="97">
        <v>2706.9</v>
      </c>
      <c r="N50" s="123">
        <f t="shared" si="7"/>
        <v>3737.7</v>
      </c>
      <c r="O50" s="125">
        <f t="shared" si="8"/>
        <v>27.4</v>
      </c>
      <c r="P50" s="39">
        <f t="shared" si="9"/>
        <v>23.96</v>
      </c>
      <c r="Q50" s="93">
        <f t="shared" si="10"/>
        <v>1.1639543356813213</v>
      </c>
      <c r="R50" s="92">
        <f t="shared" si="11"/>
        <v>3765.1</v>
      </c>
      <c r="S50" s="95">
        <f t="shared" si="12"/>
        <v>3765.1000000000004</v>
      </c>
      <c r="T50" s="85"/>
      <c r="U50" s="80"/>
      <c r="V50" s="77"/>
      <c r="W50" s="80"/>
      <c r="X50" s="80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</row>
    <row r="51" spans="1:74" ht="18.75">
      <c r="A51" s="7" t="s">
        <v>89</v>
      </c>
      <c r="B51" s="89">
        <v>196</v>
      </c>
      <c r="C51" s="51">
        <v>973.4</v>
      </c>
      <c r="D51" s="51">
        <v>292.60000000000002</v>
      </c>
      <c r="E51" s="108">
        <f t="shared" si="6"/>
        <v>0</v>
      </c>
      <c r="F51" s="63"/>
      <c r="G51" s="63"/>
      <c r="H51" s="63"/>
      <c r="I51" s="64"/>
      <c r="J51" s="64"/>
      <c r="K51" s="108">
        <v>45.4</v>
      </c>
      <c r="L51" s="42">
        <v>21.3</v>
      </c>
      <c r="M51" s="6">
        <v>1346.9</v>
      </c>
      <c r="N51" s="123">
        <f t="shared" si="7"/>
        <v>2658.3</v>
      </c>
      <c r="O51" s="125">
        <f t="shared" si="8"/>
        <v>21.3</v>
      </c>
      <c r="P51" s="39">
        <f t="shared" si="9"/>
        <v>13.563000000000001</v>
      </c>
      <c r="Q51" s="93">
        <f t="shared" si="10"/>
        <v>0.6588778236580034</v>
      </c>
      <c r="R51" s="92">
        <f t="shared" si="11"/>
        <v>2679.6000000000004</v>
      </c>
      <c r="S51" s="95">
        <f t="shared" si="12"/>
        <v>2679.6000000000004</v>
      </c>
      <c r="T51" s="85"/>
      <c r="V51" s="77"/>
    </row>
    <row r="52" spans="1:74" s="107" customFormat="1" ht="18.75">
      <c r="A52" s="120">
        <v>214</v>
      </c>
      <c r="B52" s="106">
        <v>359</v>
      </c>
      <c r="C52" s="52">
        <v>1141.0999999999999</v>
      </c>
      <c r="D52" s="52">
        <v>343.1</v>
      </c>
      <c r="E52" s="108">
        <f t="shared" si="6"/>
        <v>0</v>
      </c>
      <c r="F52" s="65"/>
      <c r="G52" s="65"/>
      <c r="H52" s="65"/>
      <c r="I52" s="66"/>
      <c r="J52" s="66"/>
      <c r="K52" s="96">
        <v>58.7</v>
      </c>
      <c r="L52" s="42">
        <v>53.1</v>
      </c>
      <c r="M52" s="97">
        <v>2535.5</v>
      </c>
      <c r="N52" s="123">
        <f t="shared" si="7"/>
        <v>4078.4</v>
      </c>
      <c r="O52" s="125">
        <f t="shared" si="8"/>
        <v>53.1</v>
      </c>
      <c r="P52" s="39">
        <f t="shared" si="9"/>
        <v>11.36</v>
      </c>
      <c r="Q52" s="93">
        <f t="shared" si="10"/>
        <v>0.55185814913772158</v>
      </c>
      <c r="R52" s="92">
        <f t="shared" si="11"/>
        <v>4131.5</v>
      </c>
      <c r="S52" s="95">
        <f t="shared" si="12"/>
        <v>4131.5</v>
      </c>
      <c r="T52" s="85"/>
      <c r="U52" s="80"/>
      <c r="V52" s="77"/>
      <c r="W52" s="80"/>
      <c r="X52" s="80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  <c r="BU52" s="87"/>
      <c r="BV52" s="87"/>
    </row>
    <row r="53" spans="1:74" ht="18.75">
      <c r="A53" s="121" t="s">
        <v>90</v>
      </c>
      <c r="B53" s="89">
        <v>217</v>
      </c>
      <c r="C53" s="51">
        <v>901.4</v>
      </c>
      <c r="D53" s="51">
        <v>271</v>
      </c>
      <c r="E53" s="108">
        <f t="shared" si="6"/>
        <v>0</v>
      </c>
      <c r="F53" s="63"/>
      <c r="G53" s="63"/>
      <c r="H53" s="63"/>
      <c r="I53" s="64"/>
      <c r="J53" s="64"/>
      <c r="K53" s="108">
        <v>45.4</v>
      </c>
      <c r="L53" s="42">
        <v>27.3</v>
      </c>
      <c r="M53" s="6">
        <v>1397.2</v>
      </c>
      <c r="N53" s="123">
        <f t="shared" si="7"/>
        <v>2615</v>
      </c>
      <c r="O53" s="125">
        <f t="shared" si="8"/>
        <v>27.3</v>
      </c>
      <c r="P53" s="39">
        <f t="shared" si="9"/>
        <v>12.051</v>
      </c>
      <c r="Q53" s="93">
        <f t="shared" si="10"/>
        <v>0.58542628127277141</v>
      </c>
      <c r="R53" s="92">
        <f t="shared" si="11"/>
        <v>2642.3</v>
      </c>
      <c r="S53" s="95">
        <f t="shared" si="12"/>
        <v>2642.3</v>
      </c>
      <c r="T53" s="85"/>
      <c r="V53" s="77"/>
    </row>
    <row r="54" spans="1:74" ht="18.75">
      <c r="A54" s="7" t="s">
        <v>91</v>
      </c>
      <c r="B54" s="89">
        <v>199</v>
      </c>
      <c r="C54" s="51">
        <v>829.5</v>
      </c>
      <c r="D54" s="51">
        <v>249.4</v>
      </c>
      <c r="E54" s="108">
        <f t="shared" si="6"/>
        <v>0</v>
      </c>
      <c r="F54" s="65"/>
      <c r="G54" s="65"/>
      <c r="H54" s="65"/>
      <c r="I54" s="64"/>
      <c r="J54" s="64"/>
      <c r="K54" s="108">
        <v>45.4</v>
      </c>
      <c r="L54" s="42">
        <v>22.2</v>
      </c>
      <c r="M54" s="6">
        <v>1255.5</v>
      </c>
      <c r="N54" s="123">
        <f t="shared" si="7"/>
        <v>2379.8000000000002</v>
      </c>
      <c r="O54" s="125">
        <f t="shared" si="8"/>
        <v>22.2</v>
      </c>
      <c r="P54" s="39">
        <f t="shared" si="9"/>
        <v>11.959</v>
      </c>
      <c r="Q54" s="93">
        <f t="shared" si="10"/>
        <v>0.58095700752975465</v>
      </c>
      <c r="R54" s="92">
        <f t="shared" si="11"/>
        <v>2402</v>
      </c>
      <c r="S54" s="95">
        <f t="shared" si="12"/>
        <v>2402</v>
      </c>
      <c r="T54" s="85"/>
      <c r="V54" s="77"/>
    </row>
    <row r="55" spans="1:74" s="107" customFormat="1" ht="18.75">
      <c r="A55" s="120">
        <v>226</v>
      </c>
      <c r="B55" s="106">
        <v>458</v>
      </c>
      <c r="C55" s="52">
        <v>1428.8</v>
      </c>
      <c r="D55" s="52">
        <v>429.6</v>
      </c>
      <c r="E55" s="108">
        <f t="shared" si="6"/>
        <v>0</v>
      </c>
      <c r="F55" s="63"/>
      <c r="G55" s="63"/>
      <c r="H55" s="63"/>
      <c r="I55" s="66"/>
      <c r="J55" s="66"/>
      <c r="K55" s="96">
        <v>58.7</v>
      </c>
      <c r="L55" s="42">
        <v>48.9</v>
      </c>
      <c r="M55" s="97">
        <v>3156.7</v>
      </c>
      <c r="N55" s="123">
        <f t="shared" si="7"/>
        <v>5073.8</v>
      </c>
      <c r="O55" s="125">
        <f t="shared" si="8"/>
        <v>48.9</v>
      </c>
      <c r="P55" s="39">
        <f t="shared" si="9"/>
        <v>11.077999999999999</v>
      </c>
      <c r="Q55" s="93">
        <f t="shared" si="10"/>
        <v>0.53815885353412674</v>
      </c>
      <c r="R55" s="92">
        <f t="shared" si="11"/>
        <v>5122.7</v>
      </c>
      <c r="S55" s="95">
        <f t="shared" si="12"/>
        <v>5122.7</v>
      </c>
      <c r="T55" s="85"/>
      <c r="U55" s="80"/>
      <c r="V55" s="77"/>
      <c r="W55" s="80"/>
      <c r="X55" s="80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  <c r="BU55" s="87"/>
      <c r="BV55" s="87"/>
    </row>
    <row r="56" spans="1:74" ht="18.75">
      <c r="A56" s="7" t="s">
        <v>92</v>
      </c>
      <c r="B56" s="89">
        <v>475</v>
      </c>
      <c r="C56" s="51">
        <v>1428.8</v>
      </c>
      <c r="D56" s="51">
        <v>429.6</v>
      </c>
      <c r="E56" s="108">
        <f t="shared" si="6"/>
        <v>0</v>
      </c>
      <c r="F56" s="63"/>
      <c r="G56" s="63"/>
      <c r="H56" s="63"/>
      <c r="I56" s="64"/>
      <c r="J56" s="64"/>
      <c r="K56" s="108">
        <v>58.7</v>
      </c>
      <c r="L56" s="42">
        <v>51.6</v>
      </c>
      <c r="M56" s="6">
        <v>3224.3</v>
      </c>
      <c r="N56" s="123">
        <f t="shared" si="7"/>
        <v>5141.3999999999996</v>
      </c>
      <c r="O56" s="125">
        <f t="shared" si="8"/>
        <v>51.6</v>
      </c>
      <c r="P56" s="39">
        <f t="shared" si="9"/>
        <v>10.824</v>
      </c>
      <c r="Q56" s="93">
        <f t="shared" si="10"/>
        <v>0.52581977167840654</v>
      </c>
      <c r="R56" s="92">
        <f t="shared" si="11"/>
        <v>5193</v>
      </c>
      <c r="S56" s="95">
        <f t="shared" si="12"/>
        <v>5193</v>
      </c>
      <c r="T56" s="85"/>
      <c r="V56" s="77"/>
    </row>
    <row r="57" spans="1:74" ht="18.75">
      <c r="A57" s="7" t="s">
        <v>93</v>
      </c>
      <c r="B57" s="89">
        <v>216</v>
      </c>
      <c r="C57" s="51">
        <v>829.5</v>
      </c>
      <c r="D57" s="51">
        <v>249.4</v>
      </c>
      <c r="E57" s="108">
        <f t="shared" si="6"/>
        <v>0</v>
      </c>
      <c r="F57" s="63"/>
      <c r="G57" s="63"/>
      <c r="H57" s="63"/>
      <c r="I57" s="64"/>
      <c r="J57" s="64"/>
      <c r="K57" s="108">
        <v>45.4</v>
      </c>
      <c r="L57" s="42">
        <v>32.299999999999997</v>
      </c>
      <c r="M57" s="6">
        <v>1479</v>
      </c>
      <c r="N57" s="123">
        <f t="shared" si="7"/>
        <v>2603.3000000000002</v>
      </c>
      <c r="O57" s="125">
        <f t="shared" si="8"/>
        <v>32.299999999999997</v>
      </c>
      <c r="P57" s="39">
        <f t="shared" si="9"/>
        <v>12.052</v>
      </c>
      <c r="Q57" s="93">
        <f t="shared" si="10"/>
        <v>0.58547486033519547</v>
      </c>
      <c r="R57" s="92">
        <f t="shared" si="11"/>
        <v>2635.6000000000004</v>
      </c>
      <c r="S57" s="95">
        <f t="shared" si="12"/>
        <v>2635.6000000000004</v>
      </c>
      <c r="T57" s="85"/>
      <c r="V57" s="77"/>
    </row>
    <row r="58" spans="1:74" s="107" customFormat="1" ht="18.75">
      <c r="A58" s="120">
        <v>235</v>
      </c>
      <c r="B58" s="106">
        <v>171</v>
      </c>
      <c r="C58" s="52">
        <v>853.4</v>
      </c>
      <c r="D58" s="52">
        <v>256.60000000000002</v>
      </c>
      <c r="E58" s="108">
        <f t="shared" si="6"/>
        <v>0</v>
      </c>
      <c r="F58" s="65"/>
      <c r="G58" s="65"/>
      <c r="H58" s="65"/>
      <c r="I58" s="66"/>
      <c r="J58" s="66"/>
      <c r="K58" s="96">
        <v>45.4</v>
      </c>
      <c r="L58" s="42">
        <v>22.5</v>
      </c>
      <c r="M58" s="97">
        <v>1196.9000000000001</v>
      </c>
      <c r="N58" s="123">
        <f t="shared" si="7"/>
        <v>2352.3000000000002</v>
      </c>
      <c r="O58" s="125">
        <f t="shared" si="8"/>
        <v>22.5</v>
      </c>
      <c r="P58" s="39">
        <f t="shared" si="9"/>
        <v>13.756</v>
      </c>
      <c r="Q58" s="93">
        <f t="shared" si="10"/>
        <v>0.66825358270585378</v>
      </c>
      <c r="R58" s="92">
        <f t="shared" si="11"/>
        <v>2374.8000000000002</v>
      </c>
      <c r="S58" s="95">
        <f t="shared" si="12"/>
        <v>2374.8000000000002</v>
      </c>
      <c r="T58" s="85"/>
      <c r="U58" s="80"/>
      <c r="V58" s="77"/>
      <c r="W58" s="80"/>
      <c r="X58" s="80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  <c r="BU58" s="87"/>
      <c r="BV58" s="87"/>
    </row>
    <row r="59" spans="1:74" ht="18.75">
      <c r="A59" s="7" t="s">
        <v>94</v>
      </c>
      <c r="B59" s="89">
        <v>445</v>
      </c>
      <c r="C59" s="51">
        <v>1357</v>
      </c>
      <c r="D59" s="51">
        <v>408</v>
      </c>
      <c r="E59" s="108">
        <f t="shared" si="6"/>
        <v>0</v>
      </c>
      <c r="F59" s="63"/>
      <c r="G59" s="63"/>
      <c r="H59" s="63"/>
      <c r="I59" s="64"/>
      <c r="J59" s="64"/>
      <c r="K59" s="108">
        <v>58.7</v>
      </c>
      <c r="L59" s="42">
        <v>48.9</v>
      </c>
      <c r="M59" s="6">
        <v>2774</v>
      </c>
      <c r="N59" s="123">
        <f t="shared" si="7"/>
        <v>4597.7</v>
      </c>
      <c r="O59" s="125">
        <f t="shared" si="8"/>
        <v>48.9</v>
      </c>
      <c r="P59" s="39">
        <f t="shared" si="9"/>
        <v>10.332000000000001</v>
      </c>
      <c r="Q59" s="93">
        <f t="shared" si="10"/>
        <v>0.50191887296575177</v>
      </c>
      <c r="R59" s="92">
        <f t="shared" si="11"/>
        <v>4646.5999999999995</v>
      </c>
      <c r="S59" s="95">
        <f t="shared" si="12"/>
        <v>4646.6000000000004</v>
      </c>
      <c r="T59" s="85"/>
      <c r="V59" s="77"/>
    </row>
    <row r="60" spans="1:74" ht="18.75">
      <c r="A60" s="7" t="s">
        <v>95</v>
      </c>
      <c r="B60" s="89">
        <v>422</v>
      </c>
      <c r="C60" s="51">
        <v>1117.2</v>
      </c>
      <c r="D60" s="51">
        <v>335.9</v>
      </c>
      <c r="E60" s="108">
        <f t="shared" si="6"/>
        <v>0</v>
      </c>
      <c r="F60" s="63"/>
      <c r="G60" s="63"/>
      <c r="H60" s="63"/>
      <c r="I60" s="64"/>
      <c r="J60" s="64"/>
      <c r="K60" s="108">
        <v>55.2</v>
      </c>
      <c r="L60" s="42">
        <v>47</v>
      </c>
      <c r="M60" s="6">
        <v>2811</v>
      </c>
      <c r="N60" s="123">
        <f t="shared" si="7"/>
        <v>4319.3</v>
      </c>
      <c r="O60" s="125">
        <f t="shared" si="8"/>
        <v>47</v>
      </c>
      <c r="P60" s="39">
        <f t="shared" si="9"/>
        <v>10.234999999999999</v>
      </c>
      <c r="Q60" s="93">
        <f t="shared" si="10"/>
        <v>0.4972067039106145</v>
      </c>
      <c r="R60" s="92">
        <f t="shared" si="11"/>
        <v>4366.3</v>
      </c>
      <c r="S60" s="95">
        <f t="shared" si="12"/>
        <v>4366.3</v>
      </c>
      <c r="T60" s="85"/>
      <c r="V60" s="77"/>
    </row>
    <row r="61" spans="1:74" ht="18.75">
      <c r="A61" s="7" t="s">
        <v>96</v>
      </c>
      <c r="B61" s="89">
        <v>161</v>
      </c>
      <c r="C61" s="51">
        <v>757.6</v>
      </c>
      <c r="D61" s="51">
        <v>227.8</v>
      </c>
      <c r="E61" s="108">
        <f t="shared" si="6"/>
        <v>0</v>
      </c>
      <c r="F61" s="63"/>
      <c r="G61" s="63"/>
      <c r="H61" s="63"/>
      <c r="I61" s="64"/>
      <c r="J61" s="64"/>
      <c r="K61" s="108">
        <v>45.4</v>
      </c>
      <c r="L61" s="42">
        <v>17.899999999999999</v>
      </c>
      <c r="M61" s="6">
        <v>1202</v>
      </c>
      <c r="N61" s="123">
        <f t="shared" si="7"/>
        <v>2232.8000000000002</v>
      </c>
      <c r="O61" s="125">
        <f t="shared" si="8"/>
        <v>17.899999999999999</v>
      </c>
      <c r="P61" s="39">
        <f t="shared" si="9"/>
        <v>13.868</v>
      </c>
      <c r="Q61" s="93">
        <f t="shared" si="10"/>
        <v>0.67369443769735238</v>
      </c>
      <c r="R61" s="92">
        <f t="shared" si="11"/>
        <v>2250.7000000000003</v>
      </c>
      <c r="S61" s="95">
        <f t="shared" si="12"/>
        <v>2250.7000000000003</v>
      </c>
      <c r="T61" s="85"/>
      <c r="V61" s="77"/>
    </row>
    <row r="62" spans="1:74" s="107" customFormat="1" ht="18.75">
      <c r="A62" s="120">
        <v>40</v>
      </c>
      <c r="B62" s="106">
        <v>51</v>
      </c>
      <c r="C62" s="52">
        <v>669.6</v>
      </c>
      <c r="D62" s="52">
        <v>201.3</v>
      </c>
      <c r="E62" s="108">
        <f t="shared" si="6"/>
        <v>0</v>
      </c>
      <c r="F62" s="65"/>
      <c r="G62" s="65"/>
      <c r="H62" s="65"/>
      <c r="I62" s="66"/>
      <c r="J62" s="66"/>
      <c r="K62" s="98">
        <v>38.299999999999997</v>
      </c>
      <c r="L62" s="42">
        <v>16.3</v>
      </c>
      <c r="M62" s="44">
        <v>1177.4000000000001</v>
      </c>
      <c r="N62" s="123">
        <f t="shared" si="7"/>
        <v>2086.6</v>
      </c>
      <c r="O62" s="125">
        <f t="shared" si="8"/>
        <v>16.3</v>
      </c>
      <c r="P62" s="39">
        <f t="shared" si="9"/>
        <v>40.914000000000001</v>
      </c>
      <c r="Q62" s="93">
        <f t="shared" si="10"/>
        <v>1.9875637600194316</v>
      </c>
      <c r="R62" s="92">
        <f t="shared" si="11"/>
        <v>2102.9</v>
      </c>
      <c r="S62" s="95">
        <f t="shared" si="12"/>
        <v>2102.9</v>
      </c>
      <c r="T62" s="85"/>
      <c r="U62" s="80"/>
      <c r="V62" s="77"/>
      <c r="W62" s="80"/>
      <c r="X62" s="80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</row>
    <row r="63" spans="1:74" ht="18.75">
      <c r="A63" s="7" t="s">
        <v>97</v>
      </c>
      <c r="B63" s="89">
        <v>164</v>
      </c>
      <c r="C63" s="51">
        <v>885.4</v>
      </c>
      <c r="D63" s="51">
        <v>266.2</v>
      </c>
      <c r="E63" s="108">
        <f t="shared" si="6"/>
        <v>0</v>
      </c>
      <c r="F63" s="63"/>
      <c r="G63" s="63"/>
      <c r="H63" s="63"/>
      <c r="I63" s="64"/>
      <c r="J63" s="64"/>
      <c r="K63" s="109">
        <v>45.4</v>
      </c>
      <c r="L63" s="42">
        <v>14.4</v>
      </c>
      <c r="M63" s="42">
        <v>1091</v>
      </c>
      <c r="N63" s="123">
        <f t="shared" si="7"/>
        <v>2288</v>
      </c>
      <c r="O63" s="125">
        <f t="shared" si="8"/>
        <v>14.4</v>
      </c>
      <c r="P63" s="39">
        <f t="shared" si="9"/>
        <v>13.951000000000001</v>
      </c>
      <c r="Q63" s="93">
        <f t="shared" si="10"/>
        <v>0.67772649987855238</v>
      </c>
      <c r="R63" s="92">
        <f t="shared" si="11"/>
        <v>2302.4</v>
      </c>
      <c r="S63" s="95">
        <f t="shared" si="12"/>
        <v>2302.4</v>
      </c>
      <c r="T63" s="85"/>
      <c r="V63" s="77"/>
    </row>
    <row r="64" spans="1:74" s="107" customFormat="1" ht="18.75">
      <c r="A64" s="120">
        <v>55</v>
      </c>
      <c r="B64" s="106">
        <v>162</v>
      </c>
      <c r="C64" s="52">
        <v>885.4</v>
      </c>
      <c r="D64" s="52">
        <v>266.2</v>
      </c>
      <c r="E64" s="108">
        <f t="shared" si="6"/>
        <v>0</v>
      </c>
      <c r="F64" s="65"/>
      <c r="G64" s="65"/>
      <c r="H64" s="65"/>
      <c r="I64" s="66"/>
      <c r="J64" s="66"/>
      <c r="K64" s="98">
        <v>45.4</v>
      </c>
      <c r="L64" s="42">
        <v>25.6</v>
      </c>
      <c r="M64" s="44">
        <v>2890.1</v>
      </c>
      <c r="N64" s="123">
        <f t="shared" si="7"/>
        <v>4087.1</v>
      </c>
      <c r="O64" s="125">
        <f t="shared" si="8"/>
        <v>25.6</v>
      </c>
      <c r="P64" s="39">
        <f t="shared" si="9"/>
        <v>25.228999999999999</v>
      </c>
      <c r="Q64" s="93">
        <f t="shared" si="10"/>
        <v>1.2256011658974981</v>
      </c>
      <c r="R64" s="92">
        <f t="shared" si="11"/>
        <v>4112.7</v>
      </c>
      <c r="S64" s="95">
        <f t="shared" si="12"/>
        <v>4112.7</v>
      </c>
      <c r="T64" s="85"/>
      <c r="U64" s="80"/>
      <c r="V64" s="77"/>
      <c r="W64" s="80"/>
      <c r="X64" s="80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</row>
    <row r="65" spans="1:74" ht="18.75">
      <c r="A65" s="7" t="s">
        <v>98</v>
      </c>
      <c r="B65" s="89">
        <v>187</v>
      </c>
      <c r="C65" s="51">
        <v>1315.3</v>
      </c>
      <c r="D65" s="51">
        <v>395.4</v>
      </c>
      <c r="E65" s="108">
        <f t="shared" si="6"/>
        <v>0</v>
      </c>
      <c r="F65" s="63"/>
      <c r="G65" s="63"/>
      <c r="H65" s="63"/>
      <c r="I65" s="64"/>
      <c r="J65" s="64"/>
      <c r="K65" s="109">
        <v>48.4</v>
      </c>
      <c r="L65" s="42">
        <v>42.7</v>
      </c>
      <c r="M65" s="42">
        <v>1191.8</v>
      </c>
      <c r="N65" s="123">
        <f t="shared" si="7"/>
        <v>2950.9</v>
      </c>
      <c r="O65" s="125">
        <f t="shared" si="8"/>
        <v>42.7</v>
      </c>
      <c r="P65" s="39">
        <f t="shared" si="9"/>
        <v>15.78</v>
      </c>
      <c r="Q65" s="93">
        <f t="shared" si="10"/>
        <v>0.76657760505222239</v>
      </c>
      <c r="R65" s="92">
        <f t="shared" si="11"/>
        <v>2993.6</v>
      </c>
      <c r="S65" s="95">
        <f t="shared" si="12"/>
        <v>2993.6</v>
      </c>
      <c r="T65" s="85"/>
      <c r="V65" s="77"/>
    </row>
    <row r="66" spans="1:74" ht="18.75">
      <c r="A66" s="7" t="s">
        <v>99</v>
      </c>
      <c r="B66" s="89">
        <v>178</v>
      </c>
      <c r="C66" s="51">
        <v>949.3</v>
      </c>
      <c r="D66" s="51">
        <v>285.39999999999998</v>
      </c>
      <c r="E66" s="108">
        <f t="shared" si="6"/>
        <v>623.59999999999991</v>
      </c>
      <c r="F66" s="42">
        <v>338</v>
      </c>
      <c r="G66" s="42">
        <v>203.3</v>
      </c>
      <c r="H66" s="42">
        <v>82.300000000000011</v>
      </c>
      <c r="I66" s="64"/>
      <c r="J66" s="64"/>
      <c r="K66" s="109">
        <v>45.4</v>
      </c>
      <c r="L66" s="42">
        <v>21.7</v>
      </c>
      <c r="M66" s="42">
        <v>1206.7</v>
      </c>
      <c r="N66" s="123">
        <f t="shared" si="7"/>
        <v>2975</v>
      </c>
      <c r="O66" s="125">
        <f t="shared" si="8"/>
        <v>157.19999999999999</v>
      </c>
      <c r="P66" s="39">
        <f t="shared" si="9"/>
        <v>16.713000000000001</v>
      </c>
      <c r="Q66" s="93">
        <f t="shared" si="10"/>
        <v>0.81190187029390337</v>
      </c>
      <c r="R66" s="92">
        <f t="shared" si="11"/>
        <v>3132.2</v>
      </c>
      <c r="S66" s="95">
        <f t="shared" si="12"/>
        <v>3755.7</v>
      </c>
      <c r="T66" s="85"/>
      <c r="V66" s="77"/>
    </row>
    <row r="67" spans="1:74" ht="18.75">
      <c r="A67" s="7" t="s">
        <v>100</v>
      </c>
      <c r="B67" s="89">
        <v>265</v>
      </c>
      <c r="C67" s="51">
        <v>1245.0999999999999</v>
      </c>
      <c r="D67" s="51">
        <v>374.3</v>
      </c>
      <c r="E67" s="108">
        <f t="shared" si="6"/>
        <v>1023.8</v>
      </c>
      <c r="F67" s="42">
        <v>494</v>
      </c>
      <c r="G67" s="42">
        <v>392.4</v>
      </c>
      <c r="H67" s="42">
        <v>137.39999999999998</v>
      </c>
      <c r="I67" s="64"/>
      <c r="J67" s="64"/>
      <c r="K67" s="109">
        <v>49.5</v>
      </c>
      <c r="L67" s="42">
        <v>28.8</v>
      </c>
      <c r="M67" s="42">
        <v>1777.9</v>
      </c>
      <c r="N67" s="123">
        <f t="shared" si="7"/>
        <v>4225</v>
      </c>
      <c r="O67" s="125">
        <f t="shared" si="8"/>
        <v>274.39999999999998</v>
      </c>
      <c r="P67" s="39">
        <f t="shared" si="9"/>
        <v>15.943</v>
      </c>
      <c r="Q67" s="93">
        <f t="shared" si="10"/>
        <v>0.77449599222734999</v>
      </c>
      <c r="R67" s="92">
        <f t="shared" si="11"/>
        <v>4499.3999999999996</v>
      </c>
      <c r="S67" s="95">
        <f t="shared" si="12"/>
        <v>5523.2000000000007</v>
      </c>
      <c r="T67" s="85"/>
      <c r="V67" s="77"/>
    </row>
    <row r="68" spans="1:74" s="107" customFormat="1" ht="18.75">
      <c r="A68" s="120">
        <v>115</v>
      </c>
      <c r="B68" s="106">
        <v>58</v>
      </c>
      <c r="C68" s="52">
        <v>669.6</v>
      </c>
      <c r="D68" s="52">
        <v>201.3</v>
      </c>
      <c r="E68" s="108">
        <f t="shared" si="6"/>
        <v>415.40000000000003</v>
      </c>
      <c r="F68" s="42">
        <v>234</v>
      </c>
      <c r="G68" s="42">
        <v>149.1</v>
      </c>
      <c r="H68" s="42">
        <v>32.299999999999997</v>
      </c>
      <c r="I68" s="66"/>
      <c r="J68" s="66"/>
      <c r="K68" s="98">
        <v>38.299999999999997</v>
      </c>
      <c r="L68" s="42">
        <v>21.6</v>
      </c>
      <c r="M68" s="44">
        <v>570.4</v>
      </c>
      <c r="N68" s="123">
        <f t="shared" si="7"/>
        <v>1797.1</v>
      </c>
      <c r="O68" s="125">
        <f t="shared" si="8"/>
        <v>119.6</v>
      </c>
      <c r="P68" s="39">
        <f t="shared" si="9"/>
        <v>30.984000000000002</v>
      </c>
      <c r="Q68" s="93">
        <f t="shared" si="10"/>
        <v>1.5051736701481662</v>
      </c>
      <c r="R68" s="92">
        <f t="shared" si="11"/>
        <v>1916.6999999999998</v>
      </c>
      <c r="S68" s="95">
        <f t="shared" si="12"/>
        <v>2332</v>
      </c>
      <c r="T68" s="85"/>
      <c r="U68" s="80"/>
      <c r="V68" s="77"/>
      <c r="W68" s="80"/>
      <c r="X68" s="80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  <c r="BU68" s="87"/>
      <c r="BV68" s="87"/>
    </row>
    <row r="69" spans="1:74" ht="18.75">
      <c r="A69" s="7" t="s">
        <v>101</v>
      </c>
      <c r="B69" s="89">
        <v>190</v>
      </c>
      <c r="C69" s="51">
        <v>1021.3</v>
      </c>
      <c r="D69" s="51">
        <v>307.10000000000002</v>
      </c>
      <c r="E69" s="108">
        <f t="shared" si="6"/>
        <v>0</v>
      </c>
      <c r="F69" s="63"/>
      <c r="G69" s="63"/>
      <c r="H69" s="63"/>
      <c r="I69" s="64"/>
      <c r="J69" s="64"/>
      <c r="K69" s="109">
        <v>45.4</v>
      </c>
      <c r="L69" s="42">
        <v>23.7</v>
      </c>
      <c r="M69" s="42">
        <v>1358.1</v>
      </c>
      <c r="N69" s="123">
        <f t="shared" si="7"/>
        <v>2731.9</v>
      </c>
      <c r="O69" s="125">
        <f t="shared" si="8"/>
        <v>23.7</v>
      </c>
      <c r="P69" s="39">
        <f t="shared" si="9"/>
        <v>14.378</v>
      </c>
      <c r="Q69" s="93">
        <f t="shared" si="10"/>
        <v>0.69846975953364099</v>
      </c>
      <c r="R69" s="92">
        <f t="shared" si="11"/>
        <v>2755.6</v>
      </c>
      <c r="S69" s="95">
        <f t="shared" si="12"/>
        <v>2755.6000000000004</v>
      </c>
      <c r="T69" s="85"/>
      <c r="V69" s="77"/>
    </row>
    <row r="70" spans="1:74" ht="18.75">
      <c r="A70" s="7" t="s">
        <v>102</v>
      </c>
      <c r="B70" s="89">
        <v>186</v>
      </c>
      <c r="C70" s="51">
        <v>893.4</v>
      </c>
      <c r="D70" s="51">
        <v>268.60000000000002</v>
      </c>
      <c r="E70" s="108">
        <f t="shared" si="6"/>
        <v>0</v>
      </c>
      <c r="F70" s="63"/>
      <c r="G70" s="63"/>
      <c r="H70" s="63"/>
      <c r="I70" s="64"/>
      <c r="J70" s="64"/>
      <c r="K70" s="109">
        <v>45.4</v>
      </c>
      <c r="L70" s="42">
        <v>25.9</v>
      </c>
      <c r="M70" s="42">
        <v>1157.9000000000001</v>
      </c>
      <c r="N70" s="123">
        <f t="shared" si="7"/>
        <v>2365.3000000000002</v>
      </c>
      <c r="O70" s="125">
        <f t="shared" si="8"/>
        <v>25.9</v>
      </c>
      <c r="P70" s="39">
        <f t="shared" si="9"/>
        <v>12.717000000000001</v>
      </c>
      <c r="Q70" s="93">
        <f t="shared" si="10"/>
        <v>0.61777993684721888</v>
      </c>
      <c r="R70" s="92">
        <f t="shared" si="11"/>
        <v>2391.2000000000003</v>
      </c>
      <c r="S70" s="95">
        <f t="shared" si="12"/>
        <v>2391.2000000000003</v>
      </c>
      <c r="T70" s="85"/>
      <c r="V70" s="77"/>
    </row>
    <row r="71" spans="1:74" ht="18.75">
      <c r="A71" s="7" t="s">
        <v>103</v>
      </c>
      <c r="B71" s="89">
        <v>127</v>
      </c>
      <c r="C71" s="51">
        <v>845.5</v>
      </c>
      <c r="D71" s="51">
        <v>254.2</v>
      </c>
      <c r="E71" s="108">
        <f t="shared" si="6"/>
        <v>0</v>
      </c>
      <c r="F71" s="63"/>
      <c r="G71" s="63"/>
      <c r="H71" s="63"/>
      <c r="I71" s="64"/>
      <c r="J71" s="64"/>
      <c r="K71" s="109">
        <v>44.2</v>
      </c>
      <c r="L71" s="42">
        <v>28.5</v>
      </c>
      <c r="M71" s="42">
        <v>966.2</v>
      </c>
      <c r="N71" s="123">
        <f t="shared" si="7"/>
        <v>2110.1</v>
      </c>
      <c r="O71" s="125">
        <f t="shared" si="8"/>
        <v>28.5</v>
      </c>
      <c r="P71" s="39">
        <f t="shared" si="9"/>
        <v>16.614999999999998</v>
      </c>
      <c r="Q71" s="93">
        <f t="shared" si="10"/>
        <v>0.80714112217634193</v>
      </c>
      <c r="R71" s="92">
        <f t="shared" si="11"/>
        <v>2138.6</v>
      </c>
      <c r="S71" s="95">
        <f t="shared" si="12"/>
        <v>2138.6000000000004</v>
      </c>
      <c r="T71" s="85"/>
      <c r="V71" s="77"/>
    </row>
    <row r="72" spans="1:74" ht="18.75">
      <c r="A72" s="7" t="s">
        <v>104</v>
      </c>
      <c r="B72" s="89">
        <v>222</v>
      </c>
      <c r="C72" s="51">
        <v>1029.3</v>
      </c>
      <c r="D72" s="51">
        <v>309.5</v>
      </c>
      <c r="E72" s="108">
        <f t="shared" si="6"/>
        <v>0</v>
      </c>
      <c r="F72" s="63"/>
      <c r="G72" s="63"/>
      <c r="H72" s="63"/>
      <c r="I72" s="64"/>
      <c r="J72" s="64"/>
      <c r="K72" s="109">
        <v>45.4</v>
      </c>
      <c r="L72" s="42">
        <v>22.5</v>
      </c>
      <c r="M72" s="42">
        <v>1519.8</v>
      </c>
      <c r="N72" s="123">
        <f t="shared" si="7"/>
        <v>2904</v>
      </c>
      <c r="O72" s="125">
        <f t="shared" si="8"/>
        <v>22.5</v>
      </c>
      <c r="P72" s="39">
        <f t="shared" si="9"/>
        <v>13.081</v>
      </c>
      <c r="Q72" s="93">
        <f t="shared" si="10"/>
        <v>0.63546271556958944</v>
      </c>
      <c r="R72" s="92">
        <f t="shared" si="11"/>
        <v>2926.5</v>
      </c>
      <c r="S72" s="95">
        <f t="shared" si="12"/>
        <v>2926.5</v>
      </c>
      <c r="T72" s="85"/>
      <c r="V72" s="77"/>
    </row>
    <row r="73" spans="1:74" ht="18.75">
      <c r="A73" s="7" t="s">
        <v>105</v>
      </c>
      <c r="B73" s="89">
        <v>118</v>
      </c>
      <c r="C73" s="51">
        <v>757.6</v>
      </c>
      <c r="D73" s="51">
        <v>227.8</v>
      </c>
      <c r="E73" s="108">
        <f t="shared" si="6"/>
        <v>0</v>
      </c>
      <c r="F73" s="63"/>
      <c r="G73" s="63"/>
      <c r="H73" s="63"/>
      <c r="I73" s="64"/>
      <c r="J73" s="64"/>
      <c r="K73" s="109">
        <v>38.299999999999997</v>
      </c>
      <c r="L73" s="42">
        <v>15</v>
      </c>
      <c r="M73" s="42">
        <v>820.7</v>
      </c>
      <c r="N73" s="123">
        <f t="shared" si="7"/>
        <v>1844.4</v>
      </c>
      <c r="O73" s="125">
        <f t="shared" si="8"/>
        <v>15</v>
      </c>
      <c r="P73" s="39">
        <f t="shared" si="9"/>
        <v>15.631</v>
      </c>
      <c r="Q73" s="93">
        <f t="shared" si="10"/>
        <v>0.75933932475103227</v>
      </c>
      <c r="R73" s="92">
        <f t="shared" si="11"/>
        <v>1859.4</v>
      </c>
      <c r="S73" s="95">
        <f t="shared" si="12"/>
        <v>1859.4</v>
      </c>
      <c r="T73" s="85"/>
      <c r="V73" s="77"/>
    </row>
    <row r="74" spans="1:74" ht="18.75">
      <c r="A74" s="7" t="s">
        <v>106</v>
      </c>
      <c r="B74" s="89">
        <v>188</v>
      </c>
      <c r="C74" s="51">
        <v>989.3</v>
      </c>
      <c r="D74" s="51">
        <v>297.39999999999998</v>
      </c>
      <c r="E74" s="108">
        <f t="shared" si="6"/>
        <v>0</v>
      </c>
      <c r="F74" s="63"/>
      <c r="G74" s="63"/>
      <c r="H74" s="63"/>
      <c r="I74" s="64"/>
      <c r="J74" s="64"/>
      <c r="K74" s="109">
        <v>45.4</v>
      </c>
      <c r="L74" s="42">
        <v>28.8</v>
      </c>
      <c r="M74" s="42">
        <v>1264.5</v>
      </c>
      <c r="N74" s="123">
        <f t="shared" si="7"/>
        <v>2596.6</v>
      </c>
      <c r="O74" s="125">
        <f t="shared" si="8"/>
        <v>28.8</v>
      </c>
      <c r="P74" s="39">
        <f t="shared" si="9"/>
        <v>13.811999999999999</v>
      </c>
      <c r="Q74" s="93">
        <f t="shared" si="10"/>
        <v>0.67097401020160308</v>
      </c>
      <c r="R74" s="92">
        <f t="shared" si="11"/>
        <v>2625.4</v>
      </c>
      <c r="S74" s="95">
        <f t="shared" si="12"/>
        <v>2625.3999999999996</v>
      </c>
      <c r="T74" s="85"/>
      <c r="V74" s="77"/>
    </row>
    <row r="75" spans="1:74" ht="18.75">
      <c r="A75" s="7" t="s">
        <v>107</v>
      </c>
      <c r="B75" s="89">
        <v>182</v>
      </c>
      <c r="C75" s="51">
        <v>989.3</v>
      </c>
      <c r="D75" s="51">
        <v>297.39999999999998</v>
      </c>
      <c r="E75" s="108">
        <f t="shared" si="6"/>
        <v>0</v>
      </c>
      <c r="F75" s="63"/>
      <c r="G75" s="63"/>
      <c r="H75" s="63"/>
      <c r="I75" s="64"/>
      <c r="J75" s="64"/>
      <c r="K75" s="109">
        <v>45.4</v>
      </c>
      <c r="L75" s="42">
        <v>22.3</v>
      </c>
      <c r="M75" s="42">
        <v>1219.0999999999999</v>
      </c>
      <c r="N75" s="123">
        <f t="shared" si="7"/>
        <v>2551.1999999999998</v>
      </c>
      <c r="O75" s="125">
        <f t="shared" si="8"/>
        <v>22.3</v>
      </c>
      <c r="P75" s="39">
        <f t="shared" si="9"/>
        <v>14.018000000000001</v>
      </c>
      <c r="Q75" s="93">
        <f t="shared" si="10"/>
        <v>0.68098129706096677</v>
      </c>
      <c r="R75" s="92">
        <f t="shared" si="11"/>
        <v>2573.5</v>
      </c>
      <c r="S75" s="95">
        <f t="shared" si="12"/>
        <v>2573.5</v>
      </c>
      <c r="T75" s="85"/>
      <c r="V75" s="77"/>
    </row>
    <row r="76" spans="1:74" s="107" customFormat="1" ht="18.75">
      <c r="A76" s="120">
        <v>159</v>
      </c>
      <c r="B76" s="106">
        <v>70</v>
      </c>
      <c r="C76" s="52">
        <v>813.5</v>
      </c>
      <c r="D76" s="52">
        <v>244.6</v>
      </c>
      <c r="E76" s="108">
        <f t="shared" si="6"/>
        <v>0</v>
      </c>
      <c r="F76" s="65"/>
      <c r="G76" s="65"/>
      <c r="H76" s="65"/>
      <c r="I76" s="66"/>
      <c r="J76" s="66"/>
      <c r="K76" s="98">
        <v>44.2</v>
      </c>
      <c r="L76" s="42">
        <v>23</v>
      </c>
      <c r="M76" s="44">
        <v>876.3</v>
      </c>
      <c r="N76" s="123">
        <f t="shared" si="7"/>
        <v>1978.6</v>
      </c>
      <c r="O76" s="125">
        <f t="shared" si="8"/>
        <v>23</v>
      </c>
      <c r="P76" s="39">
        <f t="shared" si="9"/>
        <v>28.265999999999998</v>
      </c>
      <c r="Q76" s="93">
        <f t="shared" si="10"/>
        <v>1.3731357784794751</v>
      </c>
      <c r="R76" s="92">
        <f t="shared" si="11"/>
        <v>2001.6</v>
      </c>
      <c r="S76" s="95">
        <f t="shared" si="12"/>
        <v>2001.6</v>
      </c>
      <c r="T76" s="85"/>
      <c r="U76" s="80"/>
      <c r="V76" s="77"/>
      <c r="W76" s="80"/>
      <c r="X76" s="80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  <c r="BU76" s="87"/>
      <c r="BV76" s="87"/>
    </row>
    <row r="77" spans="1:74" ht="18.75">
      <c r="A77" s="7" t="s">
        <v>108</v>
      </c>
      <c r="B77" s="89">
        <v>195</v>
      </c>
      <c r="C77" s="51">
        <v>973.4</v>
      </c>
      <c r="D77" s="51">
        <v>292.60000000000002</v>
      </c>
      <c r="E77" s="108">
        <f t="shared" si="6"/>
        <v>0</v>
      </c>
      <c r="F77" s="63"/>
      <c r="G77" s="63"/>
      <c r="H77" s="63"/>
      <c r="I77" s="64"/>
      <c r="J77" s="64"/>
      <c r="K77" s="109">
        <v>45.4</v>
      </c>
      <c r="L77" s="42">
        <v>31.9</v>
      </c>
      <c r="M77" s="42">
        <v>1217.0999999999999</v>
      </c>
      <c r="N77" s="123">
        <f t="shared" si="7"/>
        <v>2528.5</v>
      </c>
      <c r="O77" s="125">
        <f t="shared" si="8"/>
        <v>31.9</v>
      </c>
      <c r="P77" s="39">
        <f t="shared" si="9"/>
        <v>12.967000000000001</v>
      </c>
      <c r="Q77" s="93">
        <f t="shared" si="10"/>
        <v>0.62992470245324261</v>
      </c>
      <c r="R77" s="92">
        <f t="shared" si="11"/>
        <v>2560.4</v>
      </c>
      <c r="S77" s="95">
        <f t="shared" si="12"/>
        <v>2560.4</v>
      </c>
      <c r="T77" s="85"/>
      <c r="V77" s="77"/>
    </row>
    <row r="78" spans="1:74" s="107" customFormat="1" ht="18.75">
      <c r="A78" s="120">
        <v>173</v>
      </c>
      <c r="B78" s="106">
        <v>105</v>
      </c>
      <c r="C78" s="52">
        <v>925.4</v>
      </c>
      <c r="D78" s="52">
        <v>278.2</v>
      </c>
      <c r="E78" s="108">
        <f t="shared" si="6"/>
        <v>0</v>
      </c>
      <c r="F78" s="65"/>
      <c r="G78" s="65"/>
      <c r="H78" s="65"/>
      <c r="I78" s="66"/>
      <c r="J78" s="66"/>
      <c r="K78" s="98">
        <v>45.4</v>
      </c>
      <c r="L78" s="42">
        <v>22.3</v>
      </c>
      <c r="M78" s="44">
        <v>921.2</v>
      </c>
      <c r="N78" s="123">
        <f t="shared" si="7"/>
        <v>2170.1999999999998</v>
      </c>
      <c r="O78" s="125">
        <f t="shared" si="8"/>
        <v>22.3</v>
      </c>
      <c r="P78" s="39">
        <f t="shared" si="9"/>
        <v>20.669</v>
      </c>
      <c r="Q78" s="93">
        <f t="shared" si="10"/>
        <v>1.0040806412436241</v>
      </c>
      <c r="R78" s="92">
        <f t="shared" si="11"/>
        <v>2192.5</v>
      </c>
      <c r="S78" s="95">
        <f t="shared" si="12"/>
        <v>2192.5</v>
      </c>
      <c r="T78" s="85"/>
      <c r="U78" s="80"/>
      <c r="V78" s="77"/>
      <c r="W78" s="80"/>
      <c r="X78" s="80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</row>
    <row r="79" spans="1:74" ht="18.75">
      <c r="A79" s="7" t="s">
        <v>109</v>
      </c>
      <c r="B79" s="89">
        <v>166</v>
      </c>
      <c r="C79" s="51">
        <v>893.4</v>
      </c>
      <c r="D79" s="51">
        <v>268.60000000000002</v>
      </c>
      <c r="E79" s="108">
        <f t="shared" si="6"/>
        <v>0</v>
      </c>
      <c r="F79" s="63"/>
      <c r="G79" s="63"/>
      <c r="H79" s="63"/>
      <c r="I79" s="64"/>
      <c r="J79" s="64"/>
      <c r="K79" s="109">
        <v>45.4</v>
      </c>
      <c r="L79" s="42">
        <v>19.600000000000001</v>
      </c>
      <c r="M79" s="42">
        <v>1133.3</v>
      </c>
      <c r="N79" s="123">
        <f t="shared" si="7"/>
        <v>2340.6999999999998</v>
      </c>
      <c r="O79" s="125">
        <f t="shared" si="8"/>
        <v>19.600000000000001</v>
      </c>
      <c r="P79" s="39">
        <f t="shared" si="9"/>
        <v>14.101000000000001</v>
      </c>
      <c r="Q79" s="93">
        <f t="shared" si="10"/>
        <v>0.68501335924216666</v>
      </c>
      <c r="R79" s="92">
        <f t="shared" si="11"/>
        <v>2360.2999999999997</v>
      </c>
      <c r="S79" s="95">
        <f t="shared" si="12"/>
        <v>2360.3000000000002</v>
      </c>
      <c r="T79" s="85"/>
      <c r="V79" s="77"/>
    </row>
    <row r="80" spans="1:74" s="107" customFormat="1" ht="18.75">
      <c r="A80" s="120">
        <v>201</v>
      </c>
      <c r="B80" s="106">
        <v>181</v>
      </c>
      <c r="C80" s="52">
        <v>957.3</v>
      </c>
      <c r="D80" s="52">
        <v>287.8</v>
      </c>
      <c r="E80" s="108">
        <f t="shared" si="6"/>
        <v>0</v>
      </c>
      <c r="F80" s="65"/>
      <c r="G80" s="65"/>
      <c r="H80" s="65"/>
      <c r="I80" s="66"/>
      <c r="J80" s="66"/>
      <c r="K80" s="98">
        <v>45.4</v>
      </c>
      <c r="L80" s="42">
        <v>27</v>
      </c>
      <c r="M80" s="44">
        <v>1250.2</v>
      </c>
      <c r="N80" s="123">
        <f t="shared" si="7"/>
        <v>2540.6999999999998</v>
      </c>
      <c r="O80" s="125">
        <f t="shared" si="8"/>
        <v>27</v>
      </c>
      <c r="P80" s="39">
        <f t="shared" si="9"/>
        <v>14.037000000000001</v>
      </c>
      <c r="Q80" s="93">
        <f t="shared" si="10"/>
        <v>0.68190429924702456</v>
      </c>
      <c r="R80" s="92">
        <f t="shared" si="11"/>
        <v>2567.6999999999998</v>
      </c>
      <c r="S80" s="95">
        <f t="shared" si="12"/>
        <v>2567.6999999999998</v>
      </c>
      <c r="T80" s="85"/>
      <c r="U80" s="80"/>
      <c r="V80" s="77"/>
      <c r="W80" s="80"/>
      <c r="X80" s="80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  <c r="BU80" s="87"/>
      <c r="BV80" s="87"/>
    </row>
    <row r="81" spans="1:74" ht="18.75">
      <c r="A81" s="7" t="s">
        <v>110</v>
      </c>
      <c r="B81" s="89">
        <v>194</v>
      </c>
      <c r="C81" s="51">
        <v>933.4</v>
      </c>
      <c r="D81" s="51">
        <v>280.60000000000002</v>
      </c>
      <c r="E81" s="108">
        <f t="shared" ref="E81:E110" si="13">F81+G81+H81</f>
        <v>0</v>
      </c>
      <c r="F81" s="63"/>
      <c r="G81" s="63"/>
      <c r="H81" s="63"/>
      <c r="I81" s="64"/>
      <c r="J81" s="64"/>
      <c r="K81" s="109">
        <v>45.4</v>
      </c>
      <c r="L81" s="42">
        <v>27.5</v>
      </c>
      <c r="M81" s="42">
        <v>1279.5</v>
      </c>
      <c r="N81" s="123">
        <f t="shared" ref="N81:N83" si="14">ROUND(C81+D81+I81+K81+M81+(G81/2)+H81+(F81*0.9),1)</f>
        <v>2538.9</v>
      </c>
      <c r="O81" s="125">
        <f t="shared" ref="O81:O144" si="15">ROUND(L81+(G81-(G81/2))+(F81*0.1),1)</f>
        <v>27.5</v>
      </c>
      <c r="P81" s="39">
        <f t="shared" si="9"/>
        <v>13.087</v>
      </c>
      <c r="Q81" s="93">
        <f t="shared" si="10"/>
        <v>0.63575418994413402</v>
      </c>
      <c r="R81" s="92">
        <f t="shared" si="11"/>
        <v>2566.4</v>
      </c>
      <c r="S81" s="95">
        <f t="shared" si="12"/>
        <v>2566.4</v>
      </c>
      <c r="T81" s="85"/>
      <c r="V81" s="77"/>
    </row>
    <row r="82" spans="1:74" ht="18.75">
      <c r="A82" s="7" t="s">
        <v>111</v>
      </c>
      <c r="B82" s="89">
        <v>191</v>
      </c>
      <c r="C82" s="51">
        <v>981.3</v>
      </c>
      <c r="D82" s="51">
        <v>295</v>
      </c>
      <c r="E82" s="108">
        <f t="shared" si="13"/>
        <v>0</v>
      </c>
      <c r="F82" s="63"/>
      <c r="G82" s="63"/>
      <c r="H82" s="63"/>
      <c r="I82" s="64"/>
      <c r="J82" s="64"/>
      <c r="K82" s="109">
        <v>45.4</v>
      </c>
      <c r="L82" s="42">
        <v>25.8</v>
      </c>
      <c r="M82" s="42">
        <v>1363.9</v>
      </c>
      <c r="N82" s="123">
        <f t="shared" si="14"/>
        <v>2685.6</v>
      </c>
      <c r="O82" s="125">
        <f t="shared" si="15"/>
        <v>25.8</v>
      </c>
      <c r="P82" s="39">
        <f t="shared" ref="P82:P145" si="16">ROUND(N82/B82,3)</f>
        <v>14.061</v>
      </c>
      <c r="Q82" s="93">
        <f t="shared" ref="Q82:Q145" si="17">P82/20.585</f>
        <v>0.68307019674520275</v>
      </c>
      <c r="R82" s="92">
        <f t="shared" ref="R82:R145" si="18">N82+O82</f>
        <v>2711.4</v>
      </c>
      <c r="S82" s="95">
        <f t="shared" si="12"/>
        <v>2711.4</v>
      </c>
      <c r="T82" s="85"/>
      <c r="V82" s="77"/>
    </row>
    <row r="83" spans="1:74" ht="18.75">
      <c r="A83" s="7" t="s">
        <v>112</v>
      </c>
      <c r="B83" s="89">
        <v>235</v>
      </c>
      <c r="C83" s="51">
        <v>1061.3</v>
      </c>
      <c r="D83" s="51">
        <v>319.10000000000002</v>
      </c>
      <c r="E83" s="108">
        <f t="shared" si="13"/>
        <v>0</v>
      </c>
      <c r="F83" s="63"/>
      <c r="G83" s="63"/>
      <c r="H83" s="63"/>
      <c r="I83" s="64"/>
      <c r="J83" s="64"/>
      <c r="K83" s="109">
        <v>45.4</v>
      </c>
      <c r="L83" s="42">
        <v>25.9</v>
      </c>
      <c r="M83" s="42">
        <v>1468.6</v>
      </c>
      <c r="N83" s="123">
        <f t="shared" si="14"/>
        <v>2894.4</v>
      </c>
      <c r="O83" s="125">
        <f t="shared" si="15"/>
        <v>25.9</v>
      </c>
      <c r="P83" s="39">
        <f t="shared" si="16"/>
        <v>12.317</v>
      </c>
      <c r="Q83" s="93">
        <f t="shared" si="17"/>
        <v>0.59834831187758075</v>
      </c>
      <c r="R83" s="92">
        <f t="shared" si="18"/>
        <v>2920.3</v>
      </c>
      <c r="S83" s="95">
        <f t="shared" si="12"/>
        <v>2920.3</v>
      </c>
      <c r="T83" s="85"/>
      <c r="V83" s="77"/>
    </row>
    <row r="84" spans="1:74" ht="18.75">
      <c r="A84" s="7" t="s">
        <v>113</v>
      </c>
      <c r="B84" s="89">
        <v>157</v>
      </c>
      <c r="C84" s="51">
        <v>877.5</v>
      </c>
      <c r="D84" s="51">
        <v>263.8</v>
      </c>
      <c r="E84" s="108">
        <f t="shared" si="13"/>
        <v>0</v>
      </c>
      <c r="F84" s="63"/>
      <c r="G84" s="63"/>
      <c r="H84" s="63"/>
      <c r="I84" s="64"/>
      <c r="J84" s="64"/>
      <c r="K84" s="109">
        <v>44.2</v>
      </c>
      <c r="L84" s="42">
        <v>48.8</v>
      </c>
      <c r="M84" s="42">
        <v>1015</v>
      </c>
      <c r="N84" s="123">
        <f>ROUND(C84+D84+I84+K84+M84+(G84/2)+H84+(F84*0.9)+J84,1)</f>
        <v>2200.5</v>
      </c>
      <c r="O84" s="125">
        <f>ROUND(L84+(G84-(G84/2))+(F84*0.1),1)</f>
        <v>48.8</v>
      </c>
      <c r="P84" s="39">
        <f t="shared" si="16"/>
        <v>14.016</v>
      </c>
      <c r="Q84" s="93">
        <f t="shared" si="17"/>
        <v>0.68088413893611854</v>
      </c>
      <c r="R84" s="92">
        <f t="shared" si="18"/>
        <v>2249.3000000000002</v>
      </c>
      <c r="S84" s="95">
        <f>SUM(C84:M84)</f>
        <v>2249.3000000000002</v>
      </c>
      <c r="T84" s="85"/>
      <c r="V84" s="77"/>
    </row>
    <row r="85" spans="1:74" ht="18.75">
      <c r="A85" s="7" t="s">
        <v>114</v>
      </c>
      <c r="B85" s="89">
        <v>123</v>
      </c>
      <c r="C85" s="51">
        <v>789.6</v>
      </c>
      <c r="D85" s="51">
        <v>237.4</v>
      </c>
      <c r="E85" s="108">
        <f t="shared" si="13"/>
        <v>0</v>
      </c>
      <c r="F85" s="63"/>
      <c r="G85" s="63"/>
      <c r="H85" s="63"/>
      <c r="I85" s="64"/>
      <c r="J85" s="64"/>
      <c r="K85" s="109">
        <v>38.299999999999997</v>
      </c>
      <c r="L85" s="42">
        <v>13.7</v>
      </c>
      <c r="M85" s="42">
        <v>738.3</v>
      </c>
      <c r="N85" s="123">
        <f t="shared" ref="N85:N147" si="19">ROUND(C85+D85+I85+K85+M85+(G85/2)+H85+(F85*0.9),1)</f>
        <v>1803.6</v>
      </c>
      <c r="O85" s="125">
        <f t="shared" si="15"/>
        <v>13.7</v>
      </c>
      <c r="P85" s="39">
        <f t="shared" si="16"/>
        <v>14.663</v>
      </c>
      <c r="Q85" s="93">
        <f t="shared" si="17"/>
        <v>0.71231479232450812</v>
      </c>
      <c r="R85" s="92">
        <f t="shared" si="18"/>
        <v>1817.3</v>
      </c>
      <c r="S85" s="95">
        <f t="shared" si="12"/>
        <v>1817.3</v>
      </c>
      <c r="T85" s="85"/>
      <c r="V85" s="77"/>
    </row>
    <row r="86" spans="1:74" ht="18.75">
      <c r="A86" s="7" t="s">
        <v>115</v>
      </c>
      <c r="B86" s="89">
        <v>225</v>
      </c>
      <c r="C86" s="7">
        <v>1061.3</v>
      </c>
      <c r="D86" s="7">
        <v>319.10000000000002</v>
      </c>
      <c r="E86" s="108">
        <f t="shared" si="13"/>
        <v>0</v>
      </c>
      <c r="F86" s="67"/>
      <c r="G86" s="64"/>
      <c r="H86" s="64"/>
      <c r="I86" s="64"/>
      <c r="J86" s="64"/>
      <c r="K86" s="109">
        <v>45.4</v>
      </c>
      <c r="L86" s="42">
        <v>29.7</v>
      </c>
      <c r="M86" s="42">
        <v>1615.9</v>
      </c>
      <c r="N86" s="123">
        <f t="shared" si="19"/>
        <v>3041.7</v>
      </c>
      <c r="O86" s="125">
        <f t="shared" si="15"/>
        <v>29.7</v>
      </c>
      <c r="P86" s="39">
        <f t="shared" si="16"/>
        <v>13.519</v>
      </c>
      <c r="Q86" s="93">
        <f t="shared" si="17"/>
        <v>0.65674034491134314</v>
      </c>
      <c r="R86" s="92">
        <f t="shared" si="18"/>
        <v>3071.3999999999996</v>
      </c>
      <c r="S86" s="95">
        <f t="shared" si="12"/>
        <v>3071.4000000000005</v>
      </c>
      <c r="T86" s="85"/>
      <c r="V86" s="77"/>
    </row>
    <row r="87" spans="1:74" s="107" customFormat="1" ht="18.75">
      <c r="A87" s="120">
        <v>6</v>
      </c>
      <c r="B87" s="106">
        <v>189</v>
      </c>
      <c r="C87" s="90">
        <v>1738.9</v>
      </c>
      <c r="D87" s="90">
        <v>522.79999999999995</v>
      </c>
      <c r="E87" s="108">
        <f t="shared" si="13"/>
        <v>0</v>
      </c>
      <c r="F87" s="68"/>
      <c r="G87" s="66"/>
      <c r="H87" s="66"/>
      <c r="I87" s="66"/>
      <c r="J87" s="66"/>
      <c r="K87" s="98">
        <v>64</v>
      </c>
      <c r="L87" s="42">
        <v>50.6</v>
      </c>
      <c r="M87" s="44">
        <v>2182.1</v>
      </c>
      <c r="N87" s="123">
        <f t="shared" si="19"/>
        <v>4507.8</v>
      </c>
      <c r="O87" s="125">
        <f t="shared" si="15"/>
        <v>50.6</v>
      </c>
      <c r="P87" s="39">
        <f t="shared" si="16"/>
        <v>23.850999999999999</v>
      </c>
      <c r="Q87" s="93">
        <f t="shared" si="17"/>
        <v>1.1586592178770949</v>
      </c>
      <c r="R87" s="92">
        <f t="shared" si="18"/>
        <v>4558.4000000000005</v>
      </c>
      <c r="S87" s="95">
        <f t="shared" si="12"/>
        <v>4558.3999999999996</v>
      </c>
      <c r="T87" s="85"/>
      <c r="U87" s="80"/>
      <c r="V87" s="77"/>
      <c r="W87" s="80"/>
      <c r="X87" s="80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7"/>
      <c r="BR87" s="87"/>
      <c r="BS87" s="87"/>
      <c r="BT87" s="87"/>
      <c r="BU87" s="87"/>
      <c r="BV87" s="87"/>
    </row>
    <row r="88" spans="1:74" ht="18.75">
      <c r="A88" s="7" t="s">
        <v>116</v>
      </c>
      <c r="B88" s="89">
        <v>190</v>
      </c>
      <c r="C88" s="7">
        <v>901.4</v>
      </c>
      <c r="D88" s="7">
        <v>271</v>
      </c>
      <c r="E88" s="108">
        <f t="shared" si="13"/>
        <v>0</v>
      </c>
      <c r="F88" s="67"/>
      <c r="G88" s="64"/>
      <c r="H88" s="64"/>
      <c r="I88" s="64"/>
      <c r="J88" s="64"/>
      <c r="K88" s="109">
        <v>45.4</v>
      </c>
      <c r="L88" s="42">
        <v>20.399999999999999</v>
      </c>
      <c r="M88" s="42">
        <v>1424.3</v>
      </c>
      <c r="N88" s="123">
        <f t="shared" si="19"/>
        <v>2642.1</v>
      </c>
      <c r="O88" s="125">
        <f t="shared" si="15"/>
        <v>20.399999999999999</v>
      </c>
      <c r="P88" s="39">
        <f t="shared" si="16"/>
        <v>13.906000000000001</v>
      </c>
      <c r="Q88" s="93">
        <f t="shared" si="17"/>
        <v>0.67554044206946806</v>
      </c>
      <c r="R88" s="92">
        <f t="shared" si="18"/>
        <v>2662.5</v>
      </c>
      <c r="S88" s="95">
        <f t="shared" si="12"/>
        <v>2662.5</v>
      </c>
      <c r="T88" s="85"/>
      <c r="V88" s="77"/>
    </row>
    <row r="89" spans="1:74" ht="18.75">
      <c r="A89" s="7" t="s">
        <v>117</v>
      </c>
      <c r="B89" s="89">
        <v>170</v>
      </c>
      <c r="C89" s="7">
        <v>893.4</v>
      </c>
      <c r="D89" s="7">
        <v>268.60000000000002</v>
      </c>
      <c r="E89" s="108">
        <f t="shared" si="13"/>
        <v>0</v>
      </c>
      <c r="F89" s="67"/>
      <c r="G89" s="64"/>
      <c r="H89" s="64"/>
      <c r="I89" s="64"/>
      <c r="J89" s="64"/>
      <c r="K89" s="109">
        <v>45.4</v>
      </c>
      <c r="L89" s="42">
        <v>20</v>
      </c>
      <c r="M89" s="42">
        <v>1161.3</v>
      </c>
      <c r="N89" s="123">
        <f t="shared" si="19"/>
        <v>2368.6999999999998</v>
      </c>
      <c r="O89" s="125">
        <f t="shared" si="15"/>
        <v>20</v>
      </c>
      <c r="P89" s="39">
        <f t="shared" si="16"/>
        <v>13.933999999999999</v>
      </c>
      <c r="Q89" s="93">
        <f t="shared" si="17"/>
        <v>0.67690065581734271</v>
      </c>
      <c r="R89" s="92">
        <f t="shared" si="18"/>
        <v>2388.6999999999998</v>
      </c>
      <c r="S89" s="95">
        <f t="shared" si="12"/>
        <v>2388.6999999999998</v>
      </c>
      <c r="T89" s="85"/>
      <c r="V89" s="77"/>
    </row>
    <row r="90" spans="1:74" ht="18.75">
      <c r="A90" s="7" t="s">
        <v>118</v>
      </c>
      <c r="B90" s="89">
        <v>153</v>
      </c>
      <c r="C90" s="7">
        <v>685.7</v>
      </c>
      <c r="D90" s="7">
        <v>206.2</v>
      </c>
      <c r="E90" s="108">
        <f t="shared" si="13"/>
        <v>0</v>
      </c>
      <c r="F90" s="67"/>
      <c r="G90" s="64"/>
      <c r="H90" s="64"/>
      <c r="I90" s="64"/>
      <c r="J90" s="64"/>
      <c r="K90" s="109">
        <v>44.2</v>
      </c>
      <c r="L90" s="42">
        <v>28.2</v>
      </c>
      <c r="M90" s="42">
        <v>1064.4000000000001</v>
      </c>
      <c r="N90" s="123">
        <f t="shared" si="19"/>
        <v>2000.5</v>
      </c>
      <c r="O90" s="125">
        <f t="shared" si="15"/>
        <v>28.2</v>
      </c>
      <c r="P90" s="39">
        <f t="shared" si="16"/>
        <v>13.074999999999999</v>
      </c>
      <c r="Q90" s="93">
        <f t="shared" si="17"/>
        <v>0.63517124119504487</v>
      </c>
      <c r="R90" s="92">
        <f t="shared" si="18"/>
        <v>2028.7</v>
      </c>
      <c r="S90" s="95">
        <f t="shared" si="12"/>
        <v>2028.7000000000003</v>
      </c>
      <c r="T90" s="85"/>
      <c r="V90" s="77"/>
    </row>
    <row r="91" spans="1:74" ht="18.75">
      <c r="A91" s="7" t="s">
        <v>119</v>
      </c>
      <c r="B91" s="89">
        <v>235</v>
      </c>
      <c r="C91" s="7">
        <v>1061.3</v>
      </c>
      <c r="D91" s="7">
        <v>319.10000000000002</v>
      </c>
      <c r="E91" s="108">
        <f t="shared" si="13"/>
        <v>0</v>
      </c>
      <c r="F91" s="67"/>
      <c r="G91" s="64"/>
      <c r="H91" s="64"/>
      <c r="I91" s="64"/>
      <c r="J91" s="64"/>
      <c r="K91" s="109">
        <v>45.4</v>
      </c>
      <c r="L91" s="42">
        <v>27.5</v>
      </c>
      <c r="M91" s="42">
        <v>1617.3</v>
      </c>
      <c r="N91" s="123">
        <f t="shared" si="19"/>
        <v>3043.1</v>
      </c>
      <c r="O91" s="125">
        <f t="shared" si="15"/>
        <v>27.5</v>
      </c>
      <c r="P91" s="39">
        <f t="shared" si="16"/>
        <v>12.949</v>
      </c>
      <c r="Q91" s="93">
        <f t="shared" si="17"/>
        <v>0.62905027932960889</v>
      </c>
      <c r="R91" s="92">
        <f t="shared" si="18"/>
        <v>3070.6</v>
      </c>
      <c r="S91" s="95">
        <f t="shared" si="12"/>
        <v>3070.6000000000004</v>
      </c>
      <c r="T91" s="85"/>
      <c r="V91" s="77"/>
    </row>
    <row r="92" spans="1:74" s="107" customFormat="1" ht="18.75">
      <c r="A92" s="120">
        <v>50</v>
      </c>
      <c r="B92" s="106">
        <v>269</v>
      </c>
      <c r="C92" s="90">
        <v>1523.2</v>
      </c>
      <c r="D92" s="90">
        <v>457.9</v>
      </c>
      <c r="E92" s="108">
        <f t="shared" si="13"/>
        <v>0</v>
      </c>
      <c r="F92" s="68"/>
      <c r="G92" s="66"/>
      <c r="H92" s="66"/>
      <c r="I92" s="66"/>
      <c r="J92" s="66"/>
      <c r="K92" s="98">
        <v>59.9</v>
      </c>
      <c r="L92" s="42">
        <v>34.299999999999997</v>
      </c>
      <c r="M92" s="44">
        <v>1822</v>
      </c>
      <c r="N92" s="123">
        <f t="shared" si="19"/>
        <v>3863</v>
      </c>
      <c r="O92" s="125">
        <f t="shared" si="15"/>
        <v>34.299999999999997</v>
      </c>
      <c r="P92" s="39">
        <f t="shared" si="16"/>
        <v>14.361000000000001</v>
      </c>
      <c r="Q92" s="93">
        <f t="shared" si="17"/>
        <v>0.69764391547243143</v>
      </c>
      <c r="R92" s="92">
        <f t="shared" si="18"/>
        <v>3897.3</v>
      </c>
      <c r="S92" s="95">
        <f t="shared" si="12"/>
        <v>3897.3</v>
      </c>
      <c r="T92" s="85"/>
      <c r="U92" s="80"/>
      <c r="V92" s="77"/>
      <c r="W92" s="80"/>
      <c r="X92" s="80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7"/>
      <c r="BV92" s="87"/>
    </row>
    <row r="93" spans="1:74" ht="18.75">
      <c r="A93" s="7" t="s">
        <v>120</v>
      </c>
      <c r="B93" s="89">
        <v>191</v>
      </c>
      <c r="C93" s="7">
        <v>949.3</v>
      </c>
      <c r="D93" s="7">
        <v>285.39999999999998</v>
      </c>
      <c r="E93" s="108">
        <f t="shared" si="13"/>
        <v>0</v>
      </c>
      <c r="F93" s="67"/>
      <c r="G93" s="64"/>
      <c r="H93" s="64"/>
      <c r="I93" s="64"/>
      <c r="J93" s="64"/>
      <c r="K93" s="109">
        <v>45.4</v>
      </c>
      <c r="L93" s="42">
        <v>20.8</v>
      </c>
      <c r="M93" s="42">
        <v>1301.5999999999999</v>
      </c>
      <c r="N93" s="123">
        <f t="shared" si="19"/>
        <v>2581.6999999999998</v>
      </c>
      <c r="O93" s="125">
        <f t="shared" si="15"/>
        <v>20.8</v>
      </c>
      <c r="P93" s="39">
        <f t="shared" si="16"/>
        <v>13.516999999999999</v>
      </c>
      <c r="Q93" s="93">
        <f t="shared" si="17"/>
        <v>0.65664318678649491</v>
      </c>
      <c r="R93" s="92">
        <f t="shared" si="18"/>
        <v>2602.5</v>
      </c>
      <c r="S93" s="95">
        <f t="shared" ref="S93:S145" si="20">SUM(C93:M93)</f>
        <v>2602.5</v>
      </c>
      <c r="T93" s="85"/>
      <c r="V93" s="77"/>
    </row>
    <row r="94" spans="1:74" ht="18.75">
      <c r="A94" s="7" t="s">
        <v>121</v>
      </c>
      <c r="B94" s="89">
        <v>201</v>
      </c>
      <c r="C94" s="7">
        <v>1053.3</v>
      </c>
      <c r="D94" s="7">
        <v>316.7</v>
      </c>
      <c r="E94" s="108">
        <f t="shared" si="13"/>
        <v>0</v>
      </c>
      <c r="F94" s="67"/>
      <c r="G94" s="64"/>
      <c r="H94" s="64"/>
      <c r="I94" s="64"/>
      <c r="J94" s="64"/>
      <c r="K94" s="109">
        <v>45.4</v>
      </c>
      <c r="L94" s="42">
        <v>24.6</v>
      </c>
      <c r="M94" s="42">
        <v>1399.6</v>
      </c>
      <c r="N94" s="123">
        <f t="shared" si="19"/>
        <v>2815</v>
      </c>
      <c r="O94" s="125">
        <f t="shared" si="15"/>
        <v>24.6</v>
      </c>
      <c r="P94" s="39">
        <f t="shared" si="16"/>
        <v>14.005000000000001</v>
      </c>
      <c r="Q94" s="93">
        <f t="shared" si="17"/>
        <v>0.68034976924945345</v>
      </c>
      <c r="R94" s="92">
        <f t="shared" si="18"/>
        <v>2839.6</v>
      </c>
      <c r="S94" s="95">
        <f t="shared" si="20"/>
        <v>2839.6</v>
      </c>
      <c r="T94" s="85"/>
      <c r="V94" s="77"/>
    </row>
    <row r="95" spans="1:74" s="107" customFormat="1" ht="18.75">
      <c r="A95" s="120">
        <v>91</v>
      </c>
      <c r="B95" s="106">
        <v>243</v>
      </c>
      <c r="C95" s="90">
        <v>1443.2</v>
      </c>
      <c r="D95" s="90">
        <v>433.9</v>
      </c>
      <c r="E95" s="108">
        <f t="shared" si="13"/>
        <v>0</v>
      </c>
      <c r="F95" s="68"/>
      <c r="G95" s="66"/>
      <c r="H95" s="66"/>
      <c r="I95" s="66"/>
      <c r="J95" s="66"/>
      <c r="K95" s="98">
        <v>61.3</v>
      </c>
      <c r="L95" s="42">
        <v>42.1</v>
      </c>
      <c r="M95" s="44">
        <v>1725.1</v>
      </c>
      <c r="N95" s="123">
        <f t="shared" si="19"/>
        <v>3663.5</v>
      </c>
      <c r="O95" s="125">
        <f t="shared" si="15"/>
        <v>42.1</v>
      </c>
      <c r="P95" s="39">
        <f t="shared" si="16"/>
        <v>15.076000000000001</v>
      </c>
      <c r="Q95" s="93">
        <f t="shared" si="17"/>
        <v>0.73237794510565946</v>
      </c>
      <c r="R95" s="92">
        <f t="shared" si="18"/>
        <v>3705.6</v>
      </c>
      <c r="S95" s="95">
        <f t="shared" si="20"/>
        <v>3705.5999999999995</v>
      </c>
      <c r="T95" s="85"/>
      <c r="U95" s="80"/>
      <c r="V95" s="77"/>
      <c r="W95" s="80"/>
      <c r="X95" s="80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</row>
    <row r="96" spans="1:74" ht="18.75">
      <c r="A96" s="7" t="s">
        <v>122</v>
      </c>
      <c r="B96" s="89">
        <v>182</v>
      </c>
      <c r="C96" s="7">
        <v>893.4</v>
      </c>
      <c r="D96" s="7">
        <v>268.60000000000002</v>
      </c>
      <c r="E96" s="108">
        <f t="shared" si="13"/>
        <v>703.3</v>
      </c>
      <c r="F96" s="42">
        <v>347.8</v>
      </c>
      <c r="G96" s="42">
        <v>208.5</v>
      </c>
      <c r="H96" s="42">
        <v>147</v>
      </c>
      <c r="I96" s="64"/>
      <c r="J96" s="64"/>
      <c r="K96" s="109">
        <v>45.4</v>
      </c>
      <c r="L96" s="42">
        <v>36.9</v>
      </c>
      <c r="M96" s="42">
        <v>1153.4000000000001</v>
      </c>
      <c r="N96" s="123">
        <f t="shared" si="19"/>
        <v>2925.1</v>
      </c>
      <c r="O96" s="125">
        <f t="shared" si="15"/>
        <v>175.9</v>
      </c>
      <c r="P96" s="39">
        <f t="shared" si="16"/>
        <v>16.071999999999999</v>
      </c>
      <c r="Q96" s="93">
        <f t="shared" si="17"/>
        <v>0.78076269128005826</v>
      </c>
      <c r="R96" s="92">
        <f t="shared" si="18"/>
        <v>3101</v>
      </c>
      <c r="S96" s="95">
        <f t="shared" si="20"/>
        <v>3804.3</v>
      </c>
      <c r="T96" s="85"/>
      <c r="V96" s="77"/>
    </row>
    <row r="97" spans="1:74" ht="18.75">
      <c r="A97" s="7" t="s">
        <v>123</v>
      </c>
      <c r="B97" s="89">
        <v>495</v>
      </c>
      <c r="C97" s="7">
        <v>1850.8</v>
      </c>
      <c r="D97" s="7">
        <v>556.4</v>
      </c>
      <c r="E97" s="108">
        <f t="shared" si="13"/>
        <v>0</v>
      </c>
      <c r="F97" s="67"/>
      <c r="G97" s="64"/>
      <c r="H97" s="64"/>
      <c r="I97" s="64"/>
      <c r="J97" s="64"/>
      <c r="K97" s="109">
        <v>76.599999999999994</v>
      </c>
      <c r="L97" s="42">
        <v>62</v>
      </c>
      <c r="M97" s="42">
        <v>3412.1</v>
      </c>
      <c r="N97" s="123">
        <f t="shared" si="19"/>
        <v>5895.9</v>
      </c>
      <c r="O97" s="125">
        <f t="shared" si="15"/>
        <v>62</v>
      </c>
      <c r="P97" s="39">
        <f t="shared" si="16"/>
        <v>11.911</v>
      </c>
      <c r="Q97" s="93">
        <f t="shared" si="17"/>
        <v>0.57862521253339805</v>
      </c>
      <c r="R97" s="92">
        <f t="shared" si="18"/>
        <v>5957.9</v>
      </c>
      <c r="S97" s="95">
        <f t="shared" si="20"/>
        <v>5957.9</v>
      </c>
      <c r="T97" s="85"/>
      <c r="V97" s="77"/>
    </row>
    <row r="98" spans="1:74" ht="18.75">
      <c r="A98" s="7" t="s">
        <v>124</v>
      </c>
      <c r="B98" s="89">
        <v>185</v>
      </c>
      <c r="C98" s="7">
        <v>925.4</v>
      </c>
      <c r="D98" s="7">
        <v>278.2</v>
      </c>
      <c r="E98" s="108">
        <f t="shared" si="13"/>
        <v>0</v>
      </c>
      <c r="F98" s="67"/>
      <c r="G98" s="64"/>
      <c r="H98" s="64"/>
      <c r="I98" s="64"/>
      <c r="J98" s="64"/>
      <c r="K98" s="109">
        <v>45.4</v>
      </c>
      <c r="L98" s="42">
        <v>21.2</v>
      </c>
      <c r="M98" s="42">
        <v>1200.2</v>
      </c>
      <c r="N98" s="123">
        <f t="shared" si="19"/>
        <v>2449.1999999999998</v>
      </c>
      <c r="O98" s="125">
        <f t="shared" si="15"/>
        <v>21.2</v>
      </c>
      <c r="P98" s="39">
        <f t="shared" si="16"/>
        <v>13.239000000000001</v>
      </c>
      <c r="Q98" s="93">
        <f t="shared" si="17"/>
        <v>0.64313820743259653</v>
      </c>
      <c r="R98" s="92">
        <f t="shared" si="18"/>
        <v>2470.3999999999996</v>
      </c>
      <c r="S98" s="95">
        <f t="shared" si="20"/>
        <v>2470.4</v>
      </c>
      <c r="T98" s="85"/>
      <c r="V98" s="77"/>
    </row>
    <row r="99" spans="1:74" ht="18.75">
      <c r="A99" s="7" t="s">
        <v>125</v>
      </c>
      <c r="B99" s="89">
        <v>197</v>
      </c>
      <c r="C99" s="7">
        <v>973.4</v>
      </c>
      <c r="D99" s="7">
        <v>292.60000000000002</v>
      </c>
      <c r="E99" s="108">
        <f t="shared" si="13"/>
        <v>0</v>
      </c>
      <c r="F99" s="67"/>
      <c r="G99" s="64"/>
      <c r="H99" s="64"/>
      <c r="I99" s="64"/>
      <c r="J99" s="64"/>
      <c r="K99" s="109">
        <v>45.4</v>
      </c>
      <c r="L99" s="42">
        <v>20.399999999999999</v>
      </c>
      <c r="M99" s="42">
        <v>1473</v>
      </c>
      <c r="N99" s="123">
        <f t="shared" si="19"/>
        <v>2784.4</v>
      </c>
      <c r="O99" s="125">
        <f t="shared" si="15"/>
        <v>20.399999999999999</v>
      </c>
      <c r="P99" s="39">
        <f t="shared" si="16"/>
        <v>14.134</v>
      </c>
      <c r="Q99" s="93">
        <f t="shared" si="17"/>
        <v>0.68661646830216172</v>
      </c>
      <c r="R99" s="92">
        <f t="shared" si="18"/>
        <v>2804.8</v>
      </c>
      <c r="S99" s="95">
        <f t="shared" si="20"/>
        <v>2804.8</v>
      </c>
      <c r="T99" s="85"/>
      <c r="V99" s="77"/>
    </row>
    <row r="100" spans="1:74" ht="18.75">
      <c r="A100" s="7" t="s">
        <v>126</v>
      </c>
      <c r="B100" s="89">
        <v>417</v>
      </c>
      <c r="C100" s="7">
        <v>1762.9</v>
      </c>
      <c r="D100" s="7">
        <v>530</v>
      </c>
      <c r="E100" s="108">
        <f t="shared" si="13"/>
        <v>0</v>
      </c>
      <c r="F100" s="67"/>
      <c r="G100" s="64"/>
      <c r="H100" s="64"/>
      <c r="I100" s="64"/>
      <c r="J100" s="64"/>
      <c r="K100" s="109">
        <v>70.5</v>
      </c>
      <c r="L100" s="42">
        <v>22.3</v>
      </c>
      <c r="M100" s="42">
        <v>2884.5</v>
      </c>
      <c r="N100" s="123">
        <f t="shared" si="19"/>
        <v>5247.9</v>
      </c>
      <c r="O100" s="125">
        <f t="shared" si="15"/>
        <v>22.3</v>
      </c>
      <c r="P100" s="39">
        <f t="shared" si="16"/>
        <v>12.585000000000001</v>
      </c>
      <c r="Q100" s="93">
        <f t="shared" si="17"/>
        <v>0.61136750060723832</v>
      </c>
      <c r="R100" s="92">
        <f t="shared" si="18"/>
        <v>5270.2</v>
      </c>
      <c r="S100" s="95">
        <f t="shared" si="20"/>
        <v>5270.2000000000007</v>
      </c>
      <c r="T100" s="85"/>
      <c r="V100" s="77"/>
    </row>
    <row r="101" spans="1:74" ht="18.75">
      <c r="A101" s="7" t="s">
        <v>127</v>
      </c>
      <c r="B101" s="89">
        <v>286</v>
      </c>
      <c r="C101" s="7">
        <v>1635</v>
      </c>
      <c r="D101" s="7">
        <v>491.6</v>
      </c>
      <c r="E101" s="108">
        <f t="shared" si="13"/>
        <v>0</v>
      </c>
      <c r="F101" s="67"/>
      <c r="G101" s="64"/>
      <c r="H101" s="64"/>
      <c r="I101" s="64"/>
      <c r="J101" s="64"/>
      <c r="K101" s="109">
        <v>59.9</v>
      </c>
      <c r="L101" s="42">
        <v>26.6</v>
      </c>
      <c r="M101" s="42">
        <v>2011.8</v>
      </c>
      <c r="N101" s="123">
        <f t="shared" si="19"/>
        <v>4198.3</v>
      </c>
      <c r="O101" s="125">
        <f t="shared" si="15"/>
        <v>26.6</v>
      </c>
      <c r="P101" s="39">
        <f t="shared" si="16"/>
        <v>14.679</v>
      </c>
      <c r="Q101" s="93">
        <f t="shared" si="17"/>
        <v>0.71309205732329362</v>
      </c>
      <c r="R101" s="92">
        <f t="shared" si="18"/>
        <v>4224.9000000000005</v>
      </c>
      <c r="S101" s="95">
        <f t="shared" si="20"/>
        <v>4224.8999999999996</v>
      </c>
      <c r="T101" s="85"/>
      <c r="V101" s="77"/>
    </row>
    <row r="102" spans="1:74" ht="18.75">
      <c r="A102" s="7" t="s">
        <v>128</v>
      </c>
      <c r="B102" s="89">
        <v>223</v>
      </c>
      <c r="C102" s="7">
        <v>1013.3</v>
      </c>
      <c r="D102" s="7">
        <v>304.60000000000002</v>
      </c>
      <c r="E102" s="108">
        <f t="shared" si="13"/>
        <v>0</v>
      </c>
      <c r="F102" s="67"/>
      <c r="G102" s="64"/>
      <c r="H102" s="64"/>
      <c r="I102" s="64"/>
      <c r="J102" s="64"/>
      <c r="K102" s="109">
        <v>45.4</v>
      </c>
      <c r="L102" s="42">
        <v>39.6</v>
      </c>
      <c r="M102" s="42">
        <v>1728.9</v>
      </c>
      <c r="N102" s="123">
        <f t="shared" si="19"/>
        <v>3092.2</v>
      </c>
      <c r="O102" s="125">
        <f t="shared" si="15"/>
        <v>39.6</v>
      </c>
      <c r="P102" s="39">
        <f t="shared" si="16"/>
        <v>13.866</v>
      </c>
      <c r="Q102" s="93">
        <f t="shared" si="17"/>
        <v>0.67359727957250426</v>
      </c>
      <c r="R102" s="92">
        <f t="shared" si="18"/>
        <v>3131.7999999999997</v>
      </c>
      <c r="S102" s="95">
        <f t="shared" si="20"/>
        <v>3131.8</v>
      </c>
      <c r="T102" s="85"/>
      <c r="V102" s="77"/>
    </row>
    <row r="103" spans="1:74" ht="18.75">
      <c r="A103" s="7" t="s">
        <v>129</v>
      </c>
      <c r="B103" s="89">
        <v>113</v>
      </c>
      <c r="C103" s="42">
        <v>757.6</v>
      </c>
      <c r="D103" s="42">
        <v>227.8</v>
      </c>
      <c r="E103" s="108">
        <f t="shared" si="13"/>
        <v>0</v>
      </c>
      <c r="F103" s="67"/>
      <c r="G103" s="64"/>
      <c r="H103" s="64"/>
      <c r="I103" s="64"/>
      <c r="J103" s="64"/>
      <c r="K103" s="109">
        <v>38.299999999999997</v>
      </c>
      <c r="L103" s="42">
        <v>21.8</v>
      </c>
      <c r="M103" s="42">
        <v>731</v>
      </c>
      <c r="N103" s="123">
        <f t="shared" si="19"/>
        <v>1754.7</v>
      </c>
      <c r="O103" s="125">
        <f t="shared" si="15"/>
        <v>21.8</v>
      </c>
      <c r="P103" s="39">
        <f t="shared" si="16"/>
        <v>15.528</v>
      </c>
      <c r="Q103" s="93">
        <f t="shared" si="17"/>
        <v>0.75433568132135054</v>
      </c>
      <c r="R103" s="92">
        <f t="shared" si="18"/>
        <v>1776.5</v>
      </c>
      <c r="S103" s="95">
        <f t="shared" si="20"/>
        <v>1776.5</v>
      </c>
      <c r="T103" s="85"/>
      <c r="V103" s="77"/>
    </row>
    <row r="104" spans="1:74" ht="18.75">
      <c r="A104" s="7" t="s">
        <v>130</v>
      </c>
      <c r="B104" s="89">
        <v>358</v>
      </c>
      <c r="C104" s="42">
        <v>1388.9</v>
      </c>
      <c r="D104" s="42">
        <v>417.6</v>
      </c>
      <c r="E104" s="108">
        <f t="shared" si="13"/>
        <v>0</v>
      </c>
      <c r="F104" s="67"/>
      <c r="G104" s="64"/>
      <c r="H104" s="64"/>
      <c r="I104" s="64"/>
      <c r="J104" s="64"/>
      <c r="K104" s="109">
        <v>58.7</v>
      </c>
      <c r="L104" s="42">
        <v>40.4</v>
      </c>
      <c r="M104" s="42">
        <v>2372.5</v>
      </c>
      <c r="N104" s="123">
        <f t="shared" si="19"/>
        <v>4237.7</v>
      </c>
      <c r="O104" s="125">
        <f t="shared" si="15"/>
        <v>40.4</v>
      </c>
      <c r="P104" s="39">
        <f t="shared" si="16"/>
        <v>11.837</v>
      </c>
      <c r="Q104" s="93">
        <f t="shared" si="17"/>
        <v>0.57503036191401502</v>
      </c>
      <c r="R104" s="92">
        <f t="shared" si="18"/>
        <v>4278.0999999999995</v>
      </c>
      <c r="S104" s="95">
        <f t="shared" si="20"/>
        <v>4278.1000000000004</v>
      </c>
      <c r="T104" s="85"/>
      <c r="V104" s="77"/>
    </row>
    <row r="105" spans="1:74" ht="18.75">
      <c r="A105" s="7" t="s">
        <v>131</v>
      </c>
      <c r="B105" s="89">
        <v>488</v>
      </c>
      <c r="C105" s="42">
        <v>1636.7</v>
      </c>
      <c r="D105" s="42">
        <v>492.1</v>
      </c>
      <c r="E105" s="108">
        <f t="shared" si="13"/>
        <v>0</v>
      </c>
      <c r="F105" s="67"/>
      <c r="G105" s="64"/>
      <c r="H105" s="64"/>
      <c r="I105" s="64"/>
      <c r="J105" s="64"/>
      <c r="K105" s="109">
        <v>64.900000000000006</v>
      </c>
      <c r="L105" s="42">
        <v>63.6</v>
      </c>
      <c r="M105" s="42">
        <v>3262.6</v>
      </c>
      <c r="N105" s="123">
        <f t="shared" si="19"/>
        <v>5456.3</v>
      </c>
      <c r="O105" s="125">
        <f t="shared" si="15"/>
        <v>63.6</v>
      </c>
      <c r="P105" s="39">
        <f t="shared" si="16"/>
        <v>11.180999999999999</v>
      </c>
      <c r="Q105" s="93">
        <f t="shared" si="17"/>
        <v>0.54316249696380858</v>
      </c>
      <c r="R105" s="92">
        <f t="shared" si="18"/>
        <v>5519.9000000000005</v>
      </c>
      <c r="S105" s="95">
        <f t="shared" si="20"/>
        <v>5519.9</v>
      </c>
      <c r="T105" s="85"/>
      <c r="V105" s="77"/>
    </row>
    <row r="106" spans="1:74" s="107" customFormat="1" ht="18.75">
      <c r="A106" s="120">
        <v>16</v>
      </c>
      <c r="B106" s="106">
        <v>327</v>
      </c>
      <c r="C106" s="42">
        <v>1197.2</v>
      </c>
      <c r="D106" s="42">
        <v>359.9</v>
      </c>
      <c r="E106" s="108">
        <f t="shared" si="13"/>
        <v>0</v>
      </c>
      <c r="F106" s="68"/>
      <c r="G106" s="66"/>
      <c r="H106" s="66"/>
      <c r="I106" s="66"/>
      <c r="J106" s="66"/>
      <c r="K106" s="98">
        <v>52.2</v>
      </c>
      <c r="L106" s="42">
        <v>46.4</v>
      </c>
      <c r="M106" s="44">
        <v>2376.9</v>
      </c>
      <c r="N106" s="123">
        <f t="shared" si="19"/>
        <v>3986.2</v>
      </c>
      <c r="O106" s="125">
        <f t="shared" si="15"/>
        <v>46.4</v>
      </c>
      <c r="P106" s="39">
        <f t="shared" si="16"/>
        <v>12.19</v>
      </c>
      <c r="Q106" s="93">
        <f t="shared" si="17"/>
        <v>0.5921787709497206</v>
      </c>
      <c r="R106" s="92">
        <f t="shared" si="18"/>
        <v>4032.6</v>
      </c>
      <c r="S106" s="95">
        <f t="shared" si="20"/>
        <v>4032.6000000000004</v>
      </c>
      <c r="T106" s="85"/>
      <c r="U106" s="80"/>
      <c r="V106" s="77"/>
      <c r="W106" s="80"/>
      <c r="X106" s="80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7"/>
      <c r="BR106" s="87"/>
      <c r="BS106" s="87"/>
      <c r="BT106" s="87"/>
      <c r="BU106" s="87"/>
      <c r="BV106" s="87"/>
    </row>
    <row r="107" spans="1:74" ht="18.75">
      <c r="A107" s="7" t="s">
        <v>132</v>
      </c>
      <c r="B107" s="89">
        <v>365</v>
      </c>
      <c r="C107" s="42">
        <v>1341</v>
      </c>
      <c r="D107" s="42">
        <v>403.2</v>
      </c>
      <c r="E107" s="108">
        <f t="shared" si="13"/>
        <v>0</v>
      </c>
      <c r="F107" s="67"/>
      <c r="G107" s="64"/>
      <c r="H107" s="64"/>
      <c r="I107" s="64"/>
      <c r="J107" s="64"/>
      <c r="K107" s="109">
        <v>58.7</v>
      </c>
      <c r="L107" s="42">
        <v>42.1</v>
      </c>
      <c r="M107" s="42">
        <v>2545.3000000000002</v>
      </c>
      <c r="N107" s="123">
        <f t="shared" si="19"/>
        <v>4348.2</v>
      </c>
      <c r="O107" s="125">
        <f t="shared" si="15"/>
        <v>42.1</v>
      </c>
      <c r="P107" s="39">
        <f t="shared" si="16"/>
        <v>11.913</v>
      </c>
      <c r="Q107" s="93">
        <f t="shared" si="17"/>
        <v>0.57872237065824628</v>
      </c>
      <c r="R107" s="92">
        <f t="shared" si="18"/>
        <v>4390.3</v>
      </c>
      <c r="S107" s="95">
        <f t="shared" si="20"/>
        <v>4390.3</v>
      </c>
      <c r="T107" s="85"/>
      <c r="V107" s="77"/>
    </row>
    <row r="108" spans="1:74" ht="18.75">
      <c r="A108" s="7" t="s">
        <v>133</v>
      </c>
      <c r="B108" s="89">
        <v>393</v>
      </c>
      <c r="C108" s="42">
        <v>1317</v>
      </c>
      <c r="D108" s="42">
        <v>396</v>
      </c>
      <c r="E108" s="108">
        <f t="shared" si="13"/>
        <v>0</v>
      </c>
      <c r="F108" s="67"/>
      <c r="G108" s="64"/>
      <c r="H108" s="64"/>
      <c r="I108" s="64"/>
      <c r="J108" s="64"/>
      <c r="K108" s="109">
        <v>58.7</v>
      </c>
      <c r="L108" s="42">
        <v>51.3</v>
      </c>
      <c r="M108" s="42">
        <v>2536.9</v>
      </c>
      <c r="N108" s="123">
        <f t="shared" si="19"/>
        <v>4308.6000000000004</v>
      </c>
      <c r="O108" s="125">
        <f t="shared" si="15"/>
        <v>51.3</v>
      </c>
      <c r="P108" s="39">
        <f t="shared" si="16"/>
        <v>10.962999999999999</v>
      </c>
      <c r="Q108" s="93">
        <f t="shared" si="17"/>
        <v>0.53257226135535574</v>
      </c>
      <c r="R108" s="92">
        <f t="shared" si="18"/>
        <v>4359.9000000000005</v>
      </c>
      <c r="S108" s="95">
        <f t="shared" si="20"/>
        <v>4359.8999999999996</v>
      </c>
      <c r="T108" s="85"/>
      <c r="V108" s="77"/>
    </row>
    <row r="109" spans="1:74" s="107" customFormat="1" ht="18.75">
      <c r="A109" s="120">
        <v>84</v>
      </c>
      <c r="B109" s="106">
        <v>100</v>
      </c>
      <c r="C109" s="42">
        <v>853.4</v>
      </c>
      <c r="D109" s="42">
        <v>256.60000000000002</v>
      </c>
      <c r="E109" s="108">
        <f t="shared" si="13"/>
        <v>0</v>
      </c>
      <c r="F109" s="68"/>
      <c r="G109" s="66"/>
      <c r="H109" s="66"/>
      <c r="I109" s="66"/>
      <c r="J109" s="66"/>
      <c r="K109" s="98">
        <v>45.4</v>
      </c>
      <c r="L109" s="42">
        <v>25.5</v>
      </c>
      <c r="M109" s="44">
        <v>912.8</v>
      </c>
      <c r="N109" s="123">
        <f t="shared" si="19"/>
        <v>2068.1999999999998</v>
      </c>
      <c r="O109" s="125">
        <f t="shared" si="15"/>
        <v>25.5</v>
      </c>
      <c r="P109" s="39">
        <f t="shared" si="16"/>
        <v>20.681999999999999</v>
      </c>
      <c r="Q109" s="93">
        <f t="shared" si="17"/>
        <v>1.004712169055137</v>
      </c>
      <c r="R109" s="92">
        <f t="shared" si="18"/>
        <v>2093.6999999999998</v>
      </c>
      <c r="S109" s="95">
        <f t="shared" si="20"/>
        <v>2093.6999999999998</v>
      </c>
      <c r="T109" s="85"/>
      <c r="U109" s="80"/>
      <c r="V109" s="77"/>
      <c r="W109" s="80"/>
      <c r="X109" s="80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  <c r="BU109" s="87"/>
      <c r="BV109" s="87"/>
    </row>
    <row r="110" spans="1:74" s="107" customFormat="1" ht="18.75">
      <c r="A110" s="120">
        <v>94</v>
      </c>
      <c r="B110" s="106">
        <v>381</v>
      </c>
      <c r="C110" s="42">
        <v>1580.7</v>
      </c>
      <c r="D110" s="42">
        <v>475.2</v>
      </c>
      <c r="E110" s="108">
        <f t="shared" si="13"/>
        <v>0</v>
      </c>
      <c r="F110" s="68"/>
      <c r="G110" s="66"/>
      <c r="H110" s="66"/>
      <c r="I110" s="66"/>
      <c r="J110" s="66"/>
      <c r="K110" s="98">
        <v>58.7</v>
      </c>
      <c r="L110" s="42">
        <v>70</v>
      </c>
      <c r="M110" s="44">
        <v>2608.8000000000002</v>
      </c>
      <c r="N110" s="123">
        <f t="shared" si="19"/>
        <v>4723.3999999999996</v>
      </c>
      <c r="O110" s="125">
        <f t="shared" si="15"/>
        <v>70</v>
      </c>
      <c r="P110" s="39">
        <f t="shared" si="16"/>
        <v>12.397</v>
      </c>
      <c r="Q110" s="93">
        <f t="shared" si="17"/>
        <v>0.60223463687150836</v>
      </c>
      <c r="R110" s="92">
        <f t="shared" si="18"/>
        <v>4793.3999999999996</v>
      </c>
      <c r="S110" s="95">
        <f t="shared" si="20"/>
        <v>4793.3999999999996</v>
      </c>
      <c r="T110" s="85"/>
      <c r="U110" s="80"/>
      <c r="V110" s="77"/>
      <c r="W110" s="80"/>
      <c r="X110" s="80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  <c r="BU110" s="87"/>
      <c r="BV110" s="87"/>
    </row>
    <row r="111" spans="1:74" s="107" customFormat="1" ht="18.75">
      <c r="A111" s="120">
        <v>101</v>
      </c>
      <c r="B111" s="106">
        <v>230</v>
      </c>
      <c r="C111" s="42">
        <v>1738.9</v>
      </c>
      <c r="D111" s="42">
        <v>522.79999999999995</v>
      </c>
      <c r="E111" s="108">
        <f>F111+G111+H111</f>
        <v>1310.8999999999999</v>
      </c>
      <c r="F111" s="42">
        <v>700.6</v>
      </c>
      <c r="G111" s="42">
        <v>425.5</v>
      </c>
      <c r="H111" s="42">
        <v>184.8</v>
      </c>
      <c r="I111" s="66"/>
      <c r="J111" s="66"/>
      <c r="K111" s="98">
        <v>61.6</v>
      </c>
      <c r="L111" s="42">
        <v>27.7</v>
      </c>
      <c r="M111" s="44">
        <v>2357.4</v>
      </c>
      <c r="N111" s="123">
        <f t="shared" si="19"/>
        <v>5708.8</v>
      </c>
      <c r="O111" s="125">
        <f t="shared" si="15"/>
        <v>310.5</v>
      </c>
      <c r="P111" s="39">
        <f t="shared" si="16"/>
        <v>24.821000000000002</v>
      </c>
      <c r="Q111" s="93">
        <f t="shared" si="17"/>
        <v>1.2057809084284674</v>
      </c>
      <c r="R111" s="92">
        <f t="shared" si="18"/>
        <v>6019.3</v>
      </c>
      <c r="S111" s="95">
        <f t="shared" si="20"/>
        <v>7330.2000000000007</v>
      </c>
      <c r="T111" s="85"/>
      <c r="U111" s="80"/>
      <c r="V111" s="77"/>
      <c r="W111" s="80"/>
      <c r="X111" s="80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  <c r="BU111" s="87"/>
      <c r="BV111" s="87"/>
    </row>
    <row r="112" spans="1:74" ht="18.75">
      <c r="A112" s="7" t="s">
        <v>134</v>
      </c>
      <c r="B112" s="89">
        <v>192</v>
      </c>
      <c r="C112" s="42">
        <v>973.4</v>
      </c>
      <c r="D112" s="42">
        <v>292.60000000000002</v>
      </c>
      <c r="E112" s="108">
        <f t="shared" ref="E112:E147" si="21">F112+G112+H112</f>
        <v>0</v>
      </c>
      <c r="F112" s="67"/>
      <c r="G112" s="64"/>
      <c r="H112" s="64"/>
      <c r="I112" s="64"/>
      <c r="J112" s="64"/>
      <c r="K112" s="109">
        <v>45.4</v>
      </c>
      <c r="L112" s="42">
        <v>27.2</v>
      </c>
      <c r="M112" s="42">
        <v>1459.3</v>
      </c>
      <c r="N112" s="123">
        <f t="shared" si="19"/>
        <v>2770.7</v>
      </c>
      <c r="O112" s="125">
        <f t="shared" si="15"/>
        <v>27.2</v>
      </c>
      <c r="P112" s="39">
        <f t="shared" si="16"/>
        <v>14.430999999999999</v>
      </c>
      <c r="Q112" s="93">
        <f t="shared" si="17"/>
        <v>0.701044449842118</v>
      </c>
      <c r="R112" s="92">
        <f t="shared" si="18"/>
        <v>2797.8999999999996</v>
      </c>
      <c r="S112" s="95">
        <f t="shared" si="20"/>
        <v>2797.9</v>
      </c>
      <c r="T112" s="85"/>
      <c r="V112" s="77"/>
    </row>
    <row r="113" spans="1:74" ht="18.75">
      <c r="A113" s="7" t="s">
        <v>135</v>
      </c>
      <c r="B113" s="89">
        <v>159</v>
      </c>
      <c r="C113" s="42">
        <v>885.4</v>
      </c>
      <c r="D113" s="42">
        <v>266.2</v>
      </c>
      <c r="E113" s="108">
        <f t="shared" si="21"/>
        <v>631.69999999999993</v>
      </c>
      <c r="F113" s="42">
        <v>422.5</v>
      </c>
      <c r="G113" s="42">
        <v>133.80000000000001</v>
      </c>
      <c r="H113" s="42">
        <v>75.400000000000006</v>
      </c>
      <c r="I113" s="64"/>
      <c r="J113" s="64"/>
      <c r="K113" s="109">
        <v>44.2</v>
      </c>
      <c r="L113" s="42">
        <v>20.7</v>
      </c>
      <c r="M113" s="42">
        <v>1187.7</v>
      </c>
      <c r="N113" s="123">
        <f t="shared" si="19"/>
        <v>2906.1</v>
      </c>
      <c r="O113" s="125">
        <f t="shared" si="15"/>
        <v>129.9</v>
      </c>
      <c r="P113" s="39">
        <f t="shared" si="16"/>
        <v>18.277000000000001</v>
      </c>
      <c r="Q113" s="93">
        <f t="shared" si="17"/>
        <v>0.88787952392518821</v>
      </c>
      <c r="R113" s="92">
        <f t="shared" si="18"/>
        <v>3036</v>
      </c>
      <c r="S113" s="95">
        <f t="shared" si="20"/>
        <v>3667.5999999999995</v>
      </c>
      <c r="T113" s="85"/>
      <c r="V113" s="77"/>
    </row>
    <row r="114" spans="1:74" s="107" customFormat="1" ht="18.75">
      <c r="A114" s="120">
        <v>148</v>
      </c>
      <c r="B114" s="106">
        <v>198</v>
      </c>
      <c r="C114" s="42">
        <v>1523.2</v>
      </c>
      <c r="D114" s="42">
        <v>457.9</v>
      </c>
      <c r="E114" s="108">
        <f t="shared" si="21"/>
        <v>0</v>
      </c>
      <c r="F114" s="68"/>
      <c r="G114" s="66"/>
      <c r="H114" s="66"/>
      <c r="I114" s="66"/>
      <c r="J114" s="66"/>
      <c r="K114" s="98">
        <v>64</v>
      </c>
      <c r="L114" s="42">
        <v>48.5</v>
      </c>
      <c r="M114" s="44">
        <v>1476.9</v>
      </c>
      <c r="N114" s="123">
        <f t="shared" si="19"/>
        <v>3522</v>
      </c>
      <c r="O114" s="125">
        <f t="shared" si="15"/>
        <v>48.5</v>
      </c>
      <c r="P114" s="39">
        <f t="shared" si="16"/>
        <v>17.788</v>
      </c>
      <c r="Q114" s="93">
        <f t="shared" si="17"/>
        <v>0.86412436239980561</v>
      </c>
      <c r="R114" s="92">
        <f t="shared" si="18"/>
        <v>3570.5</v>
      </c>
      <c r="S114" s="95">
        <f t="shared" si="20"/>
        <v>3570.5</v>
      </c>
      <c r="T114" s="85"/>
      <c r="U114" s="80"/>
      <c r="V114" s="77"/>
      <c r="W114" s="80"/>
      <c r="X114" s="80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  <c r="BU114" s="87"/>
      <c r="BV114" s="87"/>
    </row>
    <row r="115" spans="1:74" ht="18.75">
      <c r="A115" s="7" t="s">
        <v>136</v>
      </c>
      <c r="B115" s="89">
        <v>325</v>
      </c>
      <c r="C115" s="42">
        <v>1285</v>
      </c>
      <c r="D115" s="42">
        <v>386.3</v>
      </c>
      <c r="E115" s="108">
        <f t="shared" si="21"/>
        <v>0</v>
      </c>
      <c r="F115" s="67"/>
      <c r="G115" s="64"/>
      <c r="H115" s="64"/>
      <c r="I115" s="64"/>
      <c r="J115" s="64"/>
      <c r="K115" s="109">
        <v>52.2</v>
      </c>
      <c r="L115" s="42">
        <v>46.3</v>
      </c>
      <c r="M115" s="42">
        <v>2013.1</v>
      </c>
      <c r="N115" s="123">
        <f t="shared" si="19"/>
        <v>3736.6</v>
      </c>
      <c r="O115" s="125">
        <f t="shared" si="15"/>
        <v>46.3</v>
      </c>
      <c r="P115" s="39">
        <f t="shared" si="16"/>
        <v>11.497</v>
      </c>
      <c r="Q115" s="93">
        <f t="shared" si="17"/>
        <v>0.55851348068982265</v>
      </c>
      <c r="R115" s="92">
        <f t="shared" si="18"/>
        <v>3782.9</v>
      </c>
      <c r="S115" s="95">
        <f t="shared" si="20"/>
        <v>3782.8999999999996</v>
      </c>
      <c r="T115" s="85"/>
      <c r="V115" s="77"/>
    </row>
    <row r="116" spans="1:74" ht="18.75">
      <c r="A116" s="7" t="s">
        <v>137</v>
      </c>
      <c r="B116" s="89">
        <v>353</v>
      </c>
      <c r="C116" s="42">
        <v>1364.9</v>
      </c>
      <c r="D116" s="42">
        <v>410.4</v>
      </c>
      <c r="E116" s="108">
        <f t="shared" si="21"/>
        <v>0</v>
      </c>
      <c r="F116" s="67"/>
      <c r="G116" s="64"/>
      <c r="H116" s="64"/>
      <c r="I116" s="64"/>
      <c r="J116" s="64"/>
      <c r="K116" s="109">
        <v>58.7</v>
      </c>
      <c r="L116" s="42">
        <v>163.19999999999999</v>
      </c>
      <c r="M116" s="42">
        <v>2322.5</v>
      </c>
      <c r="N116" s="123">
        <f t="shared" si="19"/>
        <v>4156.5</v>
      </c>
      <c r="O116" s="125">
        <f t="shared" si="15"/>
        <v>163.19999999999999</v>
      </c>
      <c r="P116" s="39">
        <f t="shared" si="16"/>
        <v>11.775</v>
      </c>
      <c r="Q116" s="93">
        <f t="shared" si="17"/>
        <v>0.57201846004372114</v>
      </c>
      <c r="R116" s="92">
        <f t="shared" si="18"/>
        <v>4319.7</v>
      </c>
      <c r="S116" s="95">
        <f t="shared" si="20"/>
        <v>4319.7000000000007</v>
      </c>
      <c r="T116" s="85"/>
      <c r="V116" s="77"/>
    </row>
    <row r="117" spans="1:74" ht="18.75">
      <c r="A117" s="7" t="s">
        <v>138</v>
      </c>
      <c r="B117" s="89">
        <v>146</v>
      </c>
      <c r="C117" s="42">
        <v>885.4</v>
      </c>
      <c r="D117" s="42">
        <v>266.2</v>
      </c>
      <c r="E117" s="108">
        <f t="shared" si="21"/>
        <v>0</v>
      </c>
      <c r="F117" s="67"/>
      <c r="G117" s="64"/>
      <c r="H117" s="64"/>
      <c r="I117" s="64"/>
      <c r="J117" s="64"/>
      <c r="K117" s="109">
        <v>44.2</v>
      </c>
      <c r="L117" s="42">
        <v>23.3</v>
      </c>
      <c r="M117" s="42">
        <v>1031.3</v>
      </c>
      <c r="N117" s="123">
        <f t="shared" si="19"/>
        <v>2227.1</v>
      </c>
      <c r="O117" s="125">
        <f t="shared" si="15"/>
        <v>23.3</v>
      </c>
      <c r="P117" s="39">
        <f t="shared" si="16"/>
        <v>15.254</v>
      </c>
      <c r="Q117" s="93">
        <f t="shared" si="17"/>
        <v>0.74102501821714839</v>
      </c>
      <c r="R117" s="92">
        <f t="shared" si="18"/>
        <v>2250.4</v>
      </c>
      <c r="S117" s="95">
        <f t="shared" si="20"/>
        <v>2250.3999999999996</v>
      </c>
      <c r="T117" s="85"/>
      <c r="V117" s="77"/>
    </row>
    <row r="118" spans="1:74" ht="18.75">
      <c r="A118" s="7" t="s">
        <v>139</v>
      </c>
      <c r="B118" s="89">
        <v>399</v>
      </c>
      <c r="C118" s="42">
        <v>1388.9</v>
      </c>
      <c r="D118" s="42">
        <v>417.6</v>
      </c>
      <c r="E118" s="108">
        <f t="shared" si="21"/>
        <v>0</v>
      </c>
      <c r="F118" s="67"/>
      <c r="G118" s="64"/>
      <c r="H118" s="64"/>
      <c r="I118" s="64"/>
      <c r="J118" s="64"/>
      <c r="K118" s="109">
        <v>58.7</v>
      </c>
      <c r="L118" s="42">
        <v>36.299999999999997</v>
      </c>
      <c r="M118" s="42">
        <v>2509</v>
      </c>
      <c r="N118" s="123">
        <f t="shared" si="19"/>
        <v>4374.2</v>
      </c>
      <c r="O118" s="125">
        <f t="shared" si="15"/>
        <v>36.299999999999997</v>
      </c>
      <c r="P118" s="39">
        <f t="shared" si="16"/>
        <v>10.962999999999999</v>
      </c>
      <c r="Q118" s="93">
        <f t="shared" si="17"/>
        <v>0.53257226135535574</v>
      </c>
      <c r="R118" s="92">
        <f t="shared" si="18"/>
        <v>4410.5</v>
      </c>
      <c r="S118" s="95">
        <f t="shared" si="20"/>
        <v>4410.5</v>
      </c>
      <c r="T118" s="85"/>
      <c r="V118" s="77"/>
    </row>
    <row r="119" spans="1:74" ht="18.75">
      <c r="A119" s="7" t="s">
        <v>140</v>
      </c>
      <c r="B119" s="89">
        <v>224</v>
      </c>
      <c r="C119" s="42">
        <v>1101.3</v>
      </c>
      <c r="D119" s="42">
        <v>331.1</v>
      </c>
      <c r="E119" s="108">
        <f t="shared" si="21"/>
        <v>0</v>
      </c>
      <c r="F119" s="67"/>
      <c r="G119" s="64"/>
      <c r="H119" s="64"/>
      <c r="I119" s="64"/>
      <c r="J119" s="64"/>
      <c r="K119" s="109">
        <v>45.4</v>
      </c>
      <c r="L119" s="42">
        <v>26.7</v>
      </c>
      <c r="M119" s="42">
        <v>1540.6</v>
      </c>
      <c r="N119" s="123">
        <f t="shared" si="19"/>
        <v>3018.4</v>
      </c>
      <c r="O119" s="125">
        <f t="shared" si="15"/>
        <v>26.7</v>
      </c>
      <c r="P119" s="39">
        <f t="shared" si="16"/>
        <v>13.475</v>
      </c>
      <c r="Q119" s="93">
        <f t="shared" si="17"/>
        <v>0.65460286616468299</v>
      </c>
      <c r="R119" s="92">
        <f t="shared" si="18"/>
        <v>3045.1</v>
      </c>
      <c r="S119" s="95">
        <f t="shared" si="20"/>
        <v>3045.1000000000004</v>
      </c>
      <c r="T119" s="85"/>
      <c r="V119" s="77"/>
    </row>
    <row r="120" spans="1:74" ht="18.75">
      <c r="A120" s="7" t="s">
        <v>141</v>
      </c>
      <c r="B120" s="89">
        <v>374</v>
      </c>
      <c r="C120" s="42">
        <v>1388.9</v>
      </c>
      <c r="D120" s="42">
        <v>417.6</v>
      </c>
      <c r="E120" s="108">
        <f t="shared" si="21"/>
        <v>0</v>
      </c>
      <c r="F120" s="67"/>
      <c r="G120" s="64"/>
      <c r="H120" s="64"/>
      <c r="I120" s="64"/>
      <c r="J120" s="64"/>
      <c r="K120" s="109">
        <v>58.7</v>
      </c>
      <c r="L120" s="42">
        <v>42.8</v>
      </c>
      <c r="M120" s="42">
        <v>2440.1</v>
      </c>
      <c r="N120" s="123">
        <f t="shared" si="19"/>
        <v>4305.3</v>
      </c>
      <c r="O120" s="125">
        <f t="shared" si="15"/>
        <v>42.8</v>
      </c>
      <c r="P120" s="39">
        <f t="shared" si="16"/>
        <v>11.510999999999999</v>
      </c>
      <c r="Q120" s="93">
        <f t="shared" si="17"/>
        <v>0.55919358756375992</v>
      </c>
      <c r="R120" s="92">
        <f t="shared" si="18"/>
        <v>4348.1000000000004</v>
      </c>
      <c r="S120" s="95">
        <f t="shared" si="20"/>
        <v>4348.1000000000004</v>
      </c>
      <c r="T120" s="85"/>
      <c r="V120" s="77"/>
    </row>
    <row r="121" spans="1:74" ht="18.75">
      <c r="A121" s="7" t="s">
        <v>142</v>
      </c>
      <c r="B121" s="89">
        <v>177</v>
      </c>
      <c r="C121" s="42">
        <v>899.2</v>
      </c>
      <c r="D121" s="42">
        <v>270.3</v>
      </c>
      <c r="E121" s="108">
        <f t="shared" si="21"/>
        <v>0</v>
      </c>
      <c r="F121" s="67"/>
      <c r="G121" s="64"/>
      <c r="H121" s="64"/>
      <c r="I121" s="64"/>
      <c r="J121" s="64"/>
      <c r="K121" s="109">
        <v>44.2</v>
      </c>
      <c r="L121" s="42">
        <v>60.6</v>
      </c>
      <c r="M121" s="42">
        <v>1259.2</v>
      </c>
      <c r="N121" s="123">
        <f t="shared" si="19"/>
        <v>2472.9</v>
      </c>
      <c r="O121" s="125">
        <f t="shared" si="15"/>
        <v>60.6</v>
      </c>
      <c r="P121" s="39">
        <f t="shared" si="16"/>
        <v>13.971</v>
      </c>
      <c r="Q121" s="93">
        <f t="shared" si="17"/>
        <v>0.67869808112703423</v>
      </c>
      <c r="R121" s="92">
        <f t="shared" si="18"/>
        <v>2533.5</v>
      </c>
      <c r="S121" s="95">
        <f t="shared" si="20"/>
        <v>2533.5</v>
      </c>
      <c r="T121" s="85"/>
      <c r="V121" s="77"/>
    </row>
    <row r="122" spans="1:74" ht="18.75">
      <c r="A122" s="7" t="s">
        <v>143</v>
      </c>
      <c r="B122" s="89">
        <v>390</v>
      </c>
      <c r="C122" s="42">
        <v>1532.8</v>
      </c>
      <c r="D122" s="42">
        <v>460.8</v>
      </c>
      <c r="E122" s="108">
        <f t="shared" si="21"/>
        <v>0</v>
      </c>
      <c r="F122" s="67"/>
      <c r="G122" s="64"/>
      <c r="H122" s="64"/>
      <c r="I122" s="64"/>
      <c r="J122" s="64"/>
      <c r="K122" s="109">
        <v>58.7</v>
      </c>
      <c r="L122" s="42">
        <v>39.799999999999997</v>
      </c>
      <c r="M122" s="42">
        <v>2736.8</v>
      </c>
      <c r="N122" s="123">
        <f t="shared" si="19"/>
        <v>4789.1000000000004</v>
      </c>
      <c r="O122" s="125">
        <f t="shared" si="15"/>
        <v>39.799999999999997</v>
      </c>
      <c r="P122" s="39">
        <f t="shared" si="16"/>
        <v>12.28</v>
      </c>
      <c r="Q122" s="93">
        <f t="shared" si="17"/>
        <v>0.59655088656788924</v>
      </c>
      <c r="R122" s="92">
        <f t="shared" si="18"/>
        <v>4828.9000000000005</v>
      </c>
      <c r="S122" s="95">
        <f t="shared" si="20"/>
        <v>4828.8999999999996</v>
      </c>
      <c r="T122" s="85"/>
      <c r="V122" s="77"/>
    </row>
    <row r="123" spans="1:74" ht="18.75">
      <c r="A123" s="7" t="s">
        <v>144</v>
      </c>
      <c r="B123" s="89">
        <v>312</v>
      </c>
      <c r="C123" s="42">
        <v>1707</v>
      </c>
      <c r="D123" s="42">
        <v>513.20000000000005</v>
      </c>
      <c r="E123" s="108">
        <f t="shared" si="21"/>
        <v>0</v>
      </c>
      <c r="F123" s="67"/>
      <c r="G123" s="64"/>
      <c r="H123" s="64"/>
      <c r="I123" s="64"/>
      <c r="J123" s="64"/>
      <c r="K123" s="109">
        <v>64</v>
      </c>
      <c r="L123" s="42">
        <v>57.1</v>
      </c>
      <c r="M123" s="42">
        <v>2145.6999999999998</v>
      </c>
      <c r="N123" s="123">
        <f t="shared" si="19"/>
        <v>4429.8999999999996</v>
      </c>
      <c r="O123" s="125">
        <f t="shared" si="15"/>
        <v>57.1</v>
      </c>
      <c r="P123" s="39">
        <f t="shared" si="16"/>
        <v>14.198</v>
      </c>
      <c r="Q123" s="93">
        <f t="shared" si="17"/>
        <v>0.68972552829730382</v>
      </c>
      <c r="R123" s="92">
        <f t="shared" si="18"/>
        <v>4487</v>
      </c>
      <c r="S123" s="95">
        <f t="shared" si="20"/>
        <v>4487</v>
      </c>
      <c r="T123" s="85"/>
      <c r="V123" s="77"/>
    </row>
    <row r="124" spans="1:74" s="107" customFormat="1" ht="18.75">
      <c r="A124" s="120">
        <v>194</v>
      </c>
      <c r="B124" s="106">
        <v>136</v>
      </c>
      <c r="C124" s="42">
        <v>821.6</v>
      </c>
      <c r="D124" s="42">
        <v>247</v>
      </c>
      <c r="E124" s="108">
        <f t="shared" si="21"/>
        <v>0</v>
      </c>
      <c r="F124" s="68"/>
      <c r="G124" s="66"/>
      <c r="H124" s="66"/>
      <c r="I124" s="66"/>
      <c r="J124" s="66"/>
      <c r="K124" s="98">
        <v>44.2</v>
      </c>
      <c r="L124" s="42">
        <v>18.5</v>
      </c>
      <c r="M124" s="44">
        <v>1382.4</v>
      </c>
      <c r="N124" s="123">
        <f t="shared" si="19"/>
        <v>2495.1999999999998</v>
      </c>
      <c r="O124" s="125">
        <f t="shared" si="15"/>
        <v>18.5</v>
      </c>
      <c r="P124" s="39">
        <f t="shared" si="16"/>
        <v>18.347000000000001</v>
      </c>
      <c r="Q124" s="93">
        <f t="shared" si="17"/>
        <v>0.89128005829487489</v>
      </c>
      <c r="R124" s="92">
        <f t="shared" si="18"/>
        <v>2513.6999999999998</v>
      </c>
      <c r="S124" s="95">
        <f t="shared" si="20"/>
        <v>2513.6999999999998</v>
      </c>
      <c r="T124" s="85"/>
      <c r="U124" s="80"/>
      <c r="V124" s="77"/>
      <c r="W124" s="80"/>
      <c r="X124" s="80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7"/>
      <c r="BQ124" s="87"/>
      <c r="BR124" s="87"/>
      <c r="BS124" s="87"/>
      <c r="BT124" s="87"/>
      <c r="BU124" s="87"/>
      <c r="BV124" s="87"/>
    </row>
    <row r="125" spans="1:74" ht="18.75">
      <c r="A125" s="7" t="s">
        <v>145</v>
      </c>
      <c r="B125" s="89">
        <v>380</v>
      </c>
      <c r="C125" s="42">
        <v>1580.7</v>
      </c>
      <c r="D125" s="42">
        <v>475.2</v>
      </c>
      <c r="E125" s="108">
        <f t="shared" si="21"/>
        <v>0</v>
      </c>
      <c r="F125" s="67"/>
      <c r="G125" s="64"/>
      <c r="H125" s="64"/>
      <c r="I125" s="64"/>
      <c r="J125" s="64"/>
      <c r="K125" s="109">
        <v>58.7</v>
      </c>
      <c r="L125" s="42">
        <v>39.799999999999997</v>
      </c>
      <c r="M125" s="42">
        <v>2595.4</v>
      </c>
      <c r="N125" s="123">
        <f t="shared" si="19"/>
        <v>4710</v>
      </c>
      <c r="O125" s="125">
        <f t="shared" si="15"/>
        <v>39.799999999999997</v>
      </c>
      <c r="P125" s="39">
        <f t="shared" si="16"/>
        <v>12.395</v>
      </c>
      <c r="Q125" s="93">
        <f t="shared" si="17"/>
        <v>0.60213747874666013</v>
      </c>
      <c r="R125" s="92">
        <f t="shared" si="18"/>
        <v>4749.8</v>
      </c>
      <c r="S125" s="95">
        <f t="shared" si="20"/>
        <v>4749.8</v>
      </c>
      <c r="T125" s="85"/>
      <c r="V125" s="77"/>
    </row>
    <row r="126" spans="1:74" s="107" customFormat="1" ht="18.75">
      <c r="A126" s="120">
        <v>209</v>
      </c>
      <c r="B126" s="106">
        <v>317</v>
      </c>
      <c r="C126" s="42">
        <v>1580.7</v>
      </c>
      <c r="D126" s="42">
        <v>475.2</v>
      </c>
      <c r="E126" s="108">
        <f t="shared" si="21"/>
        <v>0</v>
      </c>
      <c r="F126" s="68"/>
      <c r="G126" s="66"/>
      <c r="H126" s="66"/>
      <c r="I126" s="66"/>
      <c r="J126" s="66"/>
      <c r="K126" s="98">
        <v>58.7</v>
      </c>
      <c r="L126" s="42">
        <v>46.5</v>
      </c>
      <c r="M126" s="44">
        <v>2504.6999999999998</v>
      </c>
      <c r="N126" s="123">
        <f t="shared" si="19"/>
        <v>4619.3</v>
      </c>
      <c r="O126" s="125">
        <f t="shared" si="15"/>
        <v>46.5</v>
      </c>
      <c r="P126" s="39">
        <f t="shared" si="16"/>
        <v>14.571999999999999</v>
      </c>
      <c r="Q126" s="93">
        <f t="shared" si="17"/>
        <v>0.70789409764391542</v>
      </c>
      <c r="R126" s="92">
        <f t="shared" si="18"/>
        <v>4665.8</v>
      </c>
      <c r="S126" s="95">
        <f t="shared" si="20"/>
        <v>4665.7999999999993</v>
      </c>
      <c r="T126" s="85"/>
      <c r="U126" s="80"/>
      <c r="V126" s="77"/>
      <c r="W126" s="80"/>
      <c r="X126" s="80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7"/>
      <c r="BR126" s="87"/>
      <c r="BS126" s="87"/>
      <c r="BT126" s="87"/>
      <c r="BU126" s="87"/>
      <c r="BV126" s="87"/>
    </row>
    <row r="127" spans="1:74" s="107" customFormat="1" ht="18.75">
      <c r="A127" s="120">
        <v>210</v>
      </c>
      <c r="B127" s="106">
        <v>159</v>
      </c>
      <c r="C127" s="42">
        <v>1077.2</v>
      </c>
      <c r="D127" s="42">
        <v>323.89999999999998</v>
      </c>
      <c r="E127" s="108">
        <f t="shared" si="21"/>
        <v>0</v>
      </c>
      <c r="F127" s="68"/>
      <c r="G127" s="66"/>
      <c r="H127" s="66"/>
      <c r="I127" s="66"/>
      <c r="J127" s="66"/>
      <c r="K127" s="98">
        <v>45.4</v>
      </c>
      <c r="L127" s="42">
        <v>43.4</v>
      </c>
      <c r="M127" s="44">
        <v>1232</v>
      </c>
      <c r="N127" s="123">
        <f t="shared" si="19"/>
        <v>2678.5</v>
      </c>
      <c r="O127" s="125">
        <f t="shared" si="15"/>
        <v>43.4</v>
      </c>
      <c r="P127" s="39">
        <f t="shared" si="16"/>
        <v>16.846</v>
      </c>
      <c r="Q127" s="93">
        <f t="shared" si="17"/>
        <v>0.81836288559630799</v>
      </c>
      <c r="R127" s="92">
        <f t="shared" si="18"/>
        <v>2721.9</v>
      </c>
      <c r="S127" s="95">
        <f t="shared" si="20"/>
        <v>2721.9</v>
      </c>
      <c r="T127" s="85"/>
      <c r="U127" s="80"/>
      <c r="V127" s="77"/>
      <c r="W127" s="80"/>
      <c r="X127" s="80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  <c r="BU127" s="87"/>
      <c r="BV127" s="87"/>
    </row>
    <row r="128" spans="1:74" ht="18.75">
      <c r="A128" s="7" t="s">
        <v>146</v>
      </c>
      <c r="B128" s="89">
        <v>199</v>
      </c>
      <c r="C128" s="42">
        <v>981.3</v>
      </c>
      <c r="D128" s="42">
        <v>295</v>
      </c>
      <c r="E128" s="108">
        <f t="shared" si="21"/>
        <v>0</v>
      </c>
      <c r="F128" s="67"/>
      <c r="G128" s="64"/>
      <c r="H128" s="64"/>
      <c r="I128" s="64"/>
      <c r="J128" s="64"/>
      <c r="K128" s="109">
        <v>45.4</v>
      </c>
      <c r="L128" s="42">
        <v>24.3</v>
      </c>
      <c r="M128" s="42">
        <v>1451</v>
      </c>
      <c r="N128" s="123">
        <f t="shared" si="19"/>
        <v>2772.7</v>
      </c>
      <c r="O128" s="125">
        <f t="shared" si="15"/>
        <v>24.3</v>
      </c>
      <c r="P128" s="39">
        <f t="shared" si="16"/>
        <v>13.933</v>
      </c>
      <c r="Q128" s="93">
        <f t="shared" si="17"/>
        <v>0.67685207675491854</v>
      </c>
      <c r="R128" s="92">
        <f t="shared" si="18"/>
        <v>2797</v>
      </c>
      <c r="S128" s="95">
        <f t="shared" si="20"/>
        <v>2797</v>
      </c>
      <c r="T128" s="85"/>
      <c r="V128" s="77"/>
    </row>
    <row r="129" spans="1:24" ht="18.75">
      <c r="A129" s="7" t="s">
        <v>147</v>
      </c>
      <c r="B129" s="89">
        <v>367</v>
      </c>
      <c r="C129" s="42">
        <v>1508.8</v>
      </c>
      <c r="D129" s="42">
        <v>453.6</v>
      </c>
      <c r="E129" s="108">
        <f t="shared" si="21"/>
        <v>0</v>
      </c>
      <c r="F129" s="67"/>
      <c r="G129" s="64"/>
      <c r="H129" s="64"/>
      <c r="I129" s="64"/>
      <c r="J129" s="64"/>
      <c r="K129" s="109">
        <v>55.2</v>
      </c>
      <c r="L129" s="42">
        <v>50.9</v>
      </c>
      <c r="M129" s="42">
        <v>2256.9</v>
      </c>
      <c r="N129" s="123">
        <f t="shared" si="19"/>
        <v>4274.5</v>
      </c>
      <c r="O129" s="125">
        <f t="shared" si="15"/>
        <v>50.9</v>
      </c>
      <c r="P129" s="39">
        <f t="shared" si="16"/>
        <v>11.647</v>
      </c>
      <c r="Q129" s="93">
        <f t="shared" si="17"/>
        <v>0.56580034005343693</v>
      </c>
      <c r="R129" s="92">
        <f t="shared" si="18"/>
        <v>4325.3999999999996</v>
      </c>
      <c r="S129" s="95">
        <f t="shared" si="20"/>
        <v>4325.3999999999996</v>
      </c>
      <c r="T129" s="85"/>
      <c r="V129" s="77"/>
    </row>
    <row r="130" spans="1:24" ht="18.75">
      <c r="A130" s="7" t="s">
        <v>148</v>
      </c>
      <c r="B130" s="89">
        <v>446</v>
      </c>
      <c r="C130" s="42">
        <v>1556.7</v>
      </c>
      <c r="D130" s="42">
        <v>468</v>
      </c>
      <c r="E130" s="108">
        <f t="shared" si="21"/>
        <v>0</v>
      </c>
      <c r="F130" s="67"/>
      <c r="G130" s="64"/>
      <c r="H130" s="64"/>
      <c r="I130" s="64"/>
      <c r="J130" s="64"/>
      <c r="K130" s="109">
        <v>58.7</v>
      </c>
      <c r="L130" s="42">
        <v>38.299999999999997</v>
      </c>
      <c r="M130" s="42">
        <v>3134.5</v>
      </c>
      <c r="N130" s="123">
        <f t="shared" si="19"/>
        <v>5217.8999999999996</v>
      </c>
      <c r="O130" s="125">
        <f t="shared" si="15"/>
        <v>38.299999999999997</v>
      </c>
      <c r="P130" s="39">
        <f t="shared" si="16"/>
        <v>11.699</v>
      </c>
      <c r="Q130" s="93">
        <f t="shared" si="17"/>
        <v>0.56832645129948989</v>
      </c>
      <c r="R130" s="92">
        <f t="shared" si="18"/>
        <v>5256.2</v>
      </c>
      <c r="S130" s="95">
        <f t="shared" si="20"/>
        <v>5256.2000000000007</v>
      </c>
      <c r="T130" s="85"/>
      <c r="V130" s="77"/>
    </row>
    <row r="131" spans="1:24" ht="18.75">
      <c r="A131" s="7" t="s">
        <v>149</v>
      </c>
      <c r="B131" s="89">
        <v>400</v>
      </c>
      <c r="C131" s="42">
        <v>1604.7</v>
      </c>
      <c r="D131" s="42">
        <v>482.4</v>
      </c>
      <c r="E131" s="108">
        <f t="shared" si="21"/>
        <v>0</v>
      </c>
      <c r="F131" s="67"/>
      <c r="G131" s="64"/>
      <c r="H131" s="64"/>
      <c r="I131" s="64"/>
      <c r="J131" s="64"/>
      <c r="K131" s="109">
        <v>58.7</v>
      </c>
      <c r="L131" s="42">
        <v>44.6</v>
      </c>
      <c r="M131" s="42">
        <v>2761.6</v>
      </c>
      <c r="N131" s="123">
        <f t="shared" si="19"/>
        <v>4907.3999999999996</v>
      </c>
      <c r="O131" s="125">
        <f t="shared" si="15"/>
        <v>44.6</v>
      </c>
      <c r="P131" s="39">
        <f t="shared" si="16"/>
        <v>12.269</v>
      </c>
      <c r="Q131" s="93">
        <f t="shared" si="17"/>
        <v>0.59601651688122415</v>
      </c>
      <c r="R131" s="92">
        <f t="shared" si="18"/>
        <v>4952</v>
      </c>
      <c r="S131" s="95">
        <f t="shared" si="20"/>
        <v>4952</v>
      </c>
      <c r="T131" s="85"/>
      <c r="V131" s="77"/>
    </row>
    <row r="132" spans="1:24" ht="18.75">
      <c r="A132" s="7" t="s">
        <v>150</v>
      </c>
      <c r="B132" s="89">
        <v>448</v>
      </c>
      <c r="C132" s="42">
        <v>1612.6</v>
      </c>
      <c r="D132" s="42">
        <v>484.8</v>
      </c>
      <c r="E132" s="108">
        <f t="shared" si="21"/>
        <v>0</v>
      </c>
      <c r="F132" s="67"/>
      <c r="G132" s="64"/>
      <c r="H132" s="64"/>
      <c r="I132" s="64"/>
      <c r="J132" s="64"/>
      <c r="K132" s="109">
        <v>58.7</v>
      </c>
      <c r="L132" s="42">
        <v>32</v>
      </c>
      <c r="M132" s="42">
        <v>2969.8</v>
      </c>
      <c r="N132" s="123">
        <f t="shared" si="19"/>
        <v>5125.8999999999996</v>
      </c>
      <c r="O132" s="125">
        <f t="shared" si="15"/>
        <v>32</v>
      </c>
      <c r="P132" s="39">
        <f t="shared" si="16"/>
        <v>11.442</v>
      </c>
      <c r="Q132" s="93">
        <f t="shared" si="17"/>
        <v>0.55584163225649741</v>
      </c>
      <c r="R132" s="92">
        <f t="shared" si="18"/>
        <v>5157.8999999999996</v>
      </c>
      <c r="S132" s="95">
        <f t="shared" si="20"/>
        <v>5157.8999999999996</v>
      </c>
      <c r="T132" s="85"/>
      <c r="V132" s="77"/>
    </row>
    <row r="133" spans="1:24" ht="18.75">
      <c r="A133" s="7" t="s">
        <v>151</v>
      </c>
      <c r="B133" s="89">
        <v>366</v>
      </c>
      <c r="C133" s="42">
        <v>1388.9</v>
      </c>
      <c r="D133" s="42">
        <v>417.6</v>
      </c>
      <c r="E133" s="108">
        <f t="shared" si="21"/>
        <v>0</v>
      </c>
      <c r="F133" s="67"/>
      <c r="G133" s="64"/>
      <c r="H133" s="64"/>
      <c r="I133" s="64"/>
      <c r="J133" s="64"/>
      <c r="K133" s="109">
        <v>58.7</v>
      </c>
      <c r="L133" s="42">
        <v>27</v>
      </c>
      <c r="M133" s="42">
        <v>2655.7</v>
      </c>
      <c r="N133" s="123">
        <f t="shared" si="19"/>
        <v>4520.8999999999996</v>
      </c>
      <c r="O133" s="125">
        <f t="shared" si="15"/>
        <v>27</v>
      </c>
      <c r="P133" s="39">
        <f t="shared" si="16"/>
        <v>12.352</v>
      </c>
      <c r="Q133" s="93">
        <f t="shared" si="17"/>
        <v>0.60004857906242404</v>
      </c>
      <c r="R133" s="92">
        <f t="shared" si="18"/>
        <v>4547.8999999999996</v>
      </c>
      <c r="S133" s="95">
        <f t="shared" si="20"/>
        <v>4547.8999999999996</v>
      </c>
      <c r="T133" s="85"/>
      <c r="V133" s="77"/>
    </row>
    <row r="134" spans="1:24" ht="18.75">
      <c r="A134" s="7" t="s">
        <v>152</v>
      </c>
      <c r="B134" s="89">
        <v>444</v>
      </c>
      <c r="C134" s="42">
        <v>1604.7</v>
      </c>
      <c r="D134" s="42">
        <v>482.4</v>
      </c>
      <c r="E134" s="108">
        <f t="shared" si="21"/>
        <v>0</v>
      </c>
      <c r="F134" s="67"/>
      <c r="G134" s="64"/>
      <c r="H134" s="64"/>
      <c r="I134" s="64"/>
      <c r="J134" s="64"/>
      <c r="K134" s="109">
        <v>58.7</v>
      </c>
      <c r="L134" s="42">
        <v>27.7</v>
      </c>
      <c r="M134" s="42">
        <v>3096.9</v>
      </c>
      <c r="N134" s="123">
        <f t="shared" si="19"/>
        <v>5242.7</v>
      </c>
      <c r="O134" s="125">
        <f t="shared" si="15"/>
        <v>27.7</v>
      </c>
      <c r="P134" s="39">
        <f t="shared" si="16"/>
        <v>11.808</v>
      </c>
      <c r="Q134" s="93">
        <f t="shared" si="17"/>
        <v>0.57362156910371631</v>
      </c>
      <c r="R134" s="92">
        <f t="shared" si="18"/>
        <v>5270.4</v>
      </c>
      <c r="S134" s="95">
        <f t="shared" si="20"/>
        <v>5270.4</v>
      </c>
      <c r="T134" s="85"/>
      <c r="V134" s="77"/>
    </row>
    <row r="135" spans="1:24" ht="18.75">
      <c r="A135" s="7" t="s">
        <v>153</v>
      </c>
      <c r="B135" s="89">
        <v>370</v>
      </c>
      <c r="C135" s="42">
        <v>1317</v>
      </c>
      <c r="D135" s="42">
        <v>396</v>
      </c>
      <c r="E135" s="108">
        <f t="shared" si="21"/>
        <v>0</v>
      </c>
      <c r="F135" s="67"/>
      <c r="G135" s="64"/>
      <c r="H135" s="64"/>
      <c r="I135" s="64"/>
      <c r="J135" s="64"/>
      <c r="K135" s="109">
        <v>58.7</v>
      </c>
      <c r="L135" s="42">
        <v>31.8</v>
      </c>
      <c r="M135" s="42">
        <v>2336.8000000000002</v>
      </c>
      <c r="N135" s="123">
        <f t="shared" si="19"/>
        <v>4108.5</v>
      </c>
      <c r="O135" s="125">
        <f>ROUND(L135+(G135-(G135/2))+(F135*0.1),1)</f>
        <v>31.8</v>
      </c>
      <c r="P135" s="39">
        <f t="shared" si="16"/>
        <v>11.103999999999999</v>
      </c>
      <c r="Q135" s="93">
        <f t="shared" si="17"/>
        <v>0.53942190915715316</v>
      </c>
      <c r="R135" s="92">
        <f t="shared" si="18"/>
        <v>4140.3</v>
      </c>
      <c r="S135" s="95">
        <f t="shared" si="20"/>
        <v>4140.3</v>
      </c>
      <c r="T135" s="85"/>
      <c r="V135" s="77"/>
    </row>
    <row r="136" spans="1:24" ht="18.75">
      <c r="A136" s="7" t="s">
        <v>266</v>
      </c>
      <c r="B136" s="89">
        <v>333</v>
      </c>
      <c r="C136" s="42">
        <v>1364.9</v>
      </c>
      <c r="D136" s="42">
        <v>410.4</v>
      </c>
      <c r="E136" s="108">
        <f t="shared" si="21"/>
        <v>0</v>
      </c>
      <c r="F136" s="67"/>
      <c r="G136" s="64"/>
      <c r="H136" s="64"/>
      <c r="I136" s="64"/>
      <c r="J136" s="64"/>
      <c r="K136" s="109">
        <v>55.2</v>
      </c>
      <c r="L136" s="42">
        <v>70</v>
      </c>
      <c r="M136" s="42">
        <v>2057.4</v>
      </c>
      <c r="N136" s="123">
        <f t="shared" si="19"/>
        <v>3887.9</v>
      </c>
      <c r="O136" s="125">
        <f t="shared" si="15"/>
        <v>70</v>
      </c>
      <c r="P136" s="39">
        <f t="shared" si="16"/>
        <v>11.675000000000001</v>
      </c>
      <c r="Q136" s="93">
        <f t="shared" si="17"/>
        <v>0.5671605538013117</v>
      </c>
      <c r="R136" s="92">
        <f t="shared" si="18"/>
        <v>3957.9</v>
      </c>
      <c r="S136" s="95">
        <f t="shared" si="20"/>
        <v>3957.9000000000005</v>
      </c>
      <c r="T136" s="85"/>
      <c r="V136" s="77"/>
    </row>
    <row r="137" spans="1:24" ht="18.75">
      <c r="A137" s="122" t="s">
        <v>160</v>
      </c>
      <c r="B137" s="89">
        <v>175</v>
      </c>
      <c r="C137" s="42">
        <v>893.4</v>
      </c>
      <c r="D137" s="42">
        <v>268.60000000000002</v>
      </c>
      <c r="E137" s="108">
        <f t="shared" si="21"/>
        <v>0</v>
      </c>
      <c r="F137" s="63"/>
      <c r="G137" s="63"/>
      <c r="H137" s="63"/>
      <c r="I137" s="69"/>
      <c r="J137" s="69"/>
      <c r="K137" s="42">
        <v>45.4</v>
      </c>
      <c r="L137" s="6">
        <v>26.3</v>
      </c>
      <c r="M137" s="42">
        <v>1185.2</v>
      </c>
      <c r="N137" s="123">
        <f t="shared" si="19"/>
        <v>2392.6</v>
      </c>
      <c r="O137" s="125">
        <f t="shared" si="15"/>
        <v>26.3</v>
      </c>
      <c r="P137" s="39">
        <f t="shared" si="16"/>
        <v>13.672000000000001</v>
      </c>
      <c r="Q137" s="93">
        <f t="shared" si="17"/>
        <v>0.66417294146222983</v>
      </c>
      <c r="R137" s="92">
        <f t="shared" si="18"/>
        <v>2418.9</v>
      </c>
      <c r="S137" s="95">
        <f t="shared" si="20"/>
        <v>2418.9</v>
      </c>
      <c r="T137" s="85"/>
      <c r="V137" s="77"/>
      <c r="W137" s="77"/>
      <c r="X137" s="77"/>
    </row>
    <row r="138" spans="1:24" ht="18.75">
      <c r="A138" s="122" t="s">
        <v>158</v>
      </c>
      <c r="B138" s="89">
        <v>103</v>
      </c>
      <c r="C138" s="42">
        <v>749.6</v>
      </c>
      <c r="D138" s="42">
        <v>225.4</v>
      </c>
      <c r="E138" s="108">
        <f t="shared" si="21"/>
        <v>0</v>
      </c>
      <c r="F138" s="63"/>
      <c r="G138" s="63"/>
      <c r="H138" s="63"/>
      <c r="I138" s="69"/>
      <c r="J138" s="69"/>
      <c r="K138" s="42">
        <v>38.299999999999997</v>
      </c>
      <c r="L138" s="6">
        <v>118</v>
      </c>
      <c r="M138" s="42">
        <v>744.7</v>
      </c>
      <c r="N138" s="123">
        <f t="shared" si="19"/>
        <v>1758</v>
      </c>
      <c r="O138" s="125">
        <f t="shared" si="15"/>
        <v>118</v>
      </c>
      <c r="P138" s="39">
        <f t="shared" si="16"/>
        <v>17.068000000000001</v>
      </c>
      <c r="Q138" s="93">
        <f t="shared" si="17"/>
        <v>0.82914743745445718</v>
      </c>
      <c r="R138" s="92">
        <f t="shared" si="18"/>
        <v>1876</v>
      </c>
      <c r="S138" s="95">
        <f t="shared" si="20"/>
        <v>1876</v>
      </c>
      <c r="T138" s="85"/>
      <c r="V138" s="77"/>
      <c r="W138" s="77"/>
      <c r="X138" s="77"/>
    </row>
    <row r="139" spans="1:24" ht="18.75">
      <c r="A139" s="122" t="s">
        <v>154</v>
      </c>
      <c r="B139" s="89">
        <v>411</v>
      </c>
      <c r="C139" s="42">
        <v>1141.0999999999999</v>
      </c>
      <c r="D139" s="42">
        <v>343.1</v>
      </c>
      <c r="E139" s="108">
        <f t="shared" si="21"/>
        <v>0</v>
      </c>
      <c r="F139" s="63"/>
      <c r="G139" s="63"/>
      <c r="H139" s="63"/>
      <c r="I139" s="69"/>
      <c r="J139" s="69"/>
      <c r="K139" s="42">
        <v>58.7</v>
      </c>
      <c r="L139" s="6">
        <v>55.8</v>
      </c>
      <c r="M139" s="42">
        <v>2777.8</v>
      </c>
      <c r="N139" s="123">
        <f t="shared" si="19"/>
        <v>4320.7</v>
      </c>
      <c r="O139" s="125">
        <f t="shared" si="15"/>
        <v>55.8</v>
      </c>
      <c r="P139" s="39">
        <f t="shared" si="16"/>
        <v>10.513</v>
      </c>
      <c r="Q139" s="93">
        <f t="shared" si="17"/>
        <v>0.51071168326451299</v>
      </c>
      <c r="R139" s="92">
        <f t="shared" si="18"/>
        <v>4376.5</v>
      </c>
      <c r="S139" s="95">
        <f t="shared" si="20"/>
        <v>4376.5</v>
      </c>
      <c r="T139" s="85"/>
      <c r="V139" s="77"/>
      <c r="W139" s="77"/>
      <c r="X139" s="77"/>
    </row>
    <row r="140" spans="1:24" ht="18.75">
      <c r="A140" s="122" t="s">
        <v>155</v>
      </c>
      <c r="B140" s="89">
        <v>348</v>
      </c>
      <c r="C140" s="42">
        <v>1117.2</v>
      </c>
      <c r="D140" s="42">
        <v>335.9</v>
      </c>
      <c r="E140" s="108">
        <f t="shared" si="21"/>
        <v>0</v>
      </c>
      <c r="F140" s="63"/>
      <c r="G140" s="63"/>
      <c r="H140" s="63"/>
      <c r="I140" s="69"/>
      <c r="J140" s="69"/>
      <c r="K140" s="42">
        <v>52.2</v>
      </c>
      <c r="L140" s="6">
        <v>48.8</v>
      </c>
      <c r="M140" s="42">
        <v>2621.1999999999998</v>
      </c>
      <c r="N140" s="123">
        <f t="shared" si="19"/>
        <v>4126.5</v>
      </c>
      <c r="O140" s="125">
        <f t="shared" si="15"/>
        <v>48.8</v>
      </c>
      <c r="P140" s="39">
        <f t="shared" si="16"/>
        <v>11.858000000000001</v>
      </c>
      <c r="Q140" s="93">
        <f t="shared" si="17"/>
        <v>0.57605052222492104</v>
      </c>
      <c r="R140" s="92">
        <f t="shared" si="18"/>
        <v>4175.3</v>
      </c>
      <c r="S140" s="95">
        <f t="shared" si="20"/>
        <v>4175.2999999999993</v>
      </c>
      <c r="T140" s="85"/>
      <c r="V140" s="77"/>
      <c r="W140" s="77"/>
      <c r="X140" s="77"/>
    </row>
    <row r="141" spans="1:24" ht="18.75">
      <c r="A141" s="122" t="s">
        <v>156</v>
      </c>
      <c r="B141" s="89">
        <v>233</v>
      </c>
      <c r="C141" s="42">
        <v>853.4</v>
      </c>
      <c r="D141" s="42">
        <v>256.60000000000002</v>
      </c>
      <c r="E141" s="108">
        <f t="shared" si="21"/>
        <v>0</v>
      </c>
      <c r="F141" s="63"/>
      <c r="G141" s="63"/>
      <c r="H141" s="64"/>
      <c r="I141" s="69"/>
      <c r="J141" s="69"/>
      <c r="K141" s="42">
        <v>45.4</v>
      </c>
      <c r="L141" s="6">
        <v>32.299999999999997</v>
      </c>
      <c r="M141" s="42">
        <v>1520</v>
      </c>
      <c r="N141" s="123">
        <f t="shared" si="19"/>
        <v>2675.4</v>
      </c>
      <c r="O141" s="125">
        <f t="shared" si="15"/>
        <v>32.299999999999997</v>
      </c>
      <c r="P141" s="39">
        <f t="shared" si="16"/>
        <v>11.481999999999999</v>
      </c>
      <c r="Q141" s="93">
        <f t="shared" si="17"/>
        <v>0.55778479475346121</v>
      </c>
      <c r="R141" s="92">
        <f t="shared" si="18"/>
        <v>2707.7000000000003</v>
      </c>
      <c r="S141" s="95">
        <f t="shared" si="20"/>
        <v>2707.7</v>
      </c>
      <c r="T141" s="85"/>
      <c r="V141" s="77"/>
      <c r="W141" s="77"/>
      <c r="X141" s="77"/>
    </row>
    <row r="142" spans="1:24" ht="18.75">
      <c r="A142" s="120">
        <v>186</v>
      </c>
      <c r="B142" s="106">
        <v>348</v>
      </c>
      <c r="C142" s="42">
        <v>1213.0999999999999</v>
      </c>
      <c r="D142" s="42">
        <v>364.7</v>
      </c>
      <c r="E142" s="108">
        <f t="shared" si="21"/>
        <v>0</v>
      </c>
      <c r="F142" s="65"/>
      <c r="G142" s="65"/>
      <c r="H142" s="65"/>
      <c r="I142" s="70"/>
      <c r="J142" s="70"/>
      <c r="K142" s="44">
        <v>64.900000000000006</v>
      </c>
      <c r="L142" s="97">
        <v>154.6</v>
      </c>
      <c r="M142" s="44">
        <v>2536.1</v>
      </c>
      <c r="N142" s="123">
        <f t="shared" si="19"/>
        <v>4178.8</v>
      </c>
      <c r="O142" s="125">
        <f t="shared" si="15"/>
        <v>154.6</v>
      </c>
      <c r="P142" s="39">
        <f t="shared" si="16"/>
        <v>12.007999999999999</v>
      </c>
      <c r="Q142" s="93">
        <f t="shared" si="17"/>
        <v>0.58333738158853532</v>
      </c>
      <c r="R142" s="92">
        <f t="shared" si="18"/>
        <v>4333.4000000000005</v>
      </c>
      <c r="S142" s="95">
        <f t="shared" si="20"/>
        <v>4333.3999999999996</v>
      </c>
      <c r="T142" s="85"/>
      <c r="V142" s="77"/>
      <c r="W142" s="77"/>
      <c r="X142" s="77"/>
    </row>
    <row r="143" spans="1:24" ht="18.75">
      <c r="A143" s="7" t="s">
        <v>162</v>
      </c>
      <c r="B143" s="89">
        <v>414</v>
      </c>
      <c r="C143" s="42">
        <v>1580.7</v>
      </c>
      <c r="D143" s="42">
        <v>475.2</v>
      </c>
      <c r="E143" s="108">
        <f t="shared" si="21"/>
        <v>0</v>
      </c>
      <c r="F143" s="63"/>
      <c r="G143" s="63"/>
      <c r="H143" s="63"/>
      <c r="I143" s="69"/>
      <c r="J143" s="69"/>
      <c r="K143" s="6">
        <v>58.7</v>
      </c>
      <c r="L143" s="6">
        <v>38.1</v>
      </c>
      <c r="M143" s="42">
        <v>2740.9</v>
      </c>
      <c r="N143" s="123">
        <f t="shared" si="19"/>
        <v>4855.5</v>
      </c>
      <c r="O143" s="125">
        <f t="shared" si="15"/>
        <v>38.1</v>
      </c>
      <c r="P143" s="39">
        <f t="shared" si="16"/>
        <v>11.728</v>
      </c>
      <c r="Q143" s="93">
        <f t="shared" si="17"/>
        <v>0.5697352441097886</v>
      </c>
      <c r="R143" s="92">
        <f t="shared" si="18"/>
        <v>4893.6000000000004</v>
      </c>
      <c r="S143" s="95">
        <f t="shared" si="20"/>
        <v>4893.6000000000004</v>
      </c>
      <c r="T143" s="85"/>
      <c r="V143" s="77"/>
      <c r="W143" s="77"/>
      <c r="X143" s="77"/>
    </row>
    <row r="144" spans="1:24" ht="18.75">
      <c r="A144" s="122" t="s">
        <v>157</v>
      </c>
      <c r="B144" s="89">
        <v>401</v>
      </c>
      <c r="C144" s="42">
        <v>1479.1</v>
      </c>
      <c r="D144" s="42">
        <v>633.79999999999995</v>
      </c>
      <c r="E144" s="108">
        <f t="shared" si="21"/>
        <v>0</v>
      </c>
      <c r="F144" s="63"/>
      <c r="G144" s="63"/>
      <c r="H144" s="63"/>
      <c r="I144" s="69"/>
      <c r="J144" s="69"/>
      <c r="K144" s="42">
        <v>77</v>
      </c>
      <c r="L144" s="6">
        <v>660</v>
      </c>
      <c r="M144" s="7">
        <v>2485.6</v>
      </c>
      <c r="N144" s="123">
        <f t="shared" si="19"/>
        <v>4675.5</v>
      </c>
      <c r="O144" s="125">
        <f t="shared" si="15"/>
        <v>660</v>
      </c>
      <c r="P144" s="39">
        <f t="shared" si="16"/>
        <v>11.66</v>
      </c>
      <c r="Q144" s="93">
        <f t="shared" si="17"/>
        <v>0.56643186786495014</v>
      </c>
      <c r="R144" s="92">
        <f t="shared" si="18"/>
        <v>5335.5</v>
      </c>
      <c r="S144" s="95">
        <f>SUM(C144:M144)</f>
        <v>5335.5</v>
      </c>
      <c r="T144" s="85"/>
      <c r="V144" s="77"/>
      <c r="W144" s="77"/>
      <c r="X144" s="77"/>
    </row>
    <row r="145" spans="1:74" ht="18.75">
      <c r="A145" s="122" t="s">
        <v>159</v>
      </c>
      <c r="B145" s="89">
        <v>162</v>
      </c>
      <c r="C145" s="42">
        <v>885.4</v>
      </c>
      <c r="D145" s="42">
        <v>266.2</v>
      </c>
      <c r="E145" s="108">
        <f t="shared" si="21"/>
        <v>0</v>
      </c>
      <c r="F145" s="63"/>
      <c r="G145" s="63"/>
      <c r="H145" s="63"/>
      <c r="I145" s="69"/>
      <c r="J145" s="69"/>
      <c r="K145" s="42">
        <v>45.4</v>
      </c>
      <c r="L145" s="42">
        <v>22.2</v>
      </c>
      <c r="M145" s="7">
        <v>1223.4000000000001</v>
      </c>
      <c r="N145" s="123">
        <f t="shared" si="19"/>
        <v>2420.4</v>
      </c>
      <c r="O145" s="125">
        <f t="shared" ref="O145:O147" si="22">ROUND(L145+(G145-(G145/2))+(F145*0.1),1)</f>
        <v>22.2</v>
      </c>
      <c r="P145" s="39">
        <f t="shared" si="16"/>
        <v>14.941000000000001</v>
      </c>
      <c r="Q145" s="93">
        <f t="shared" si="17"/>
        <v>0.72581977167840661</v>
      </c>
      <c r="R145" s="92">
        <f t="shared" si="18"/>
        <v>2442.6</v>
      </c>
      <c r="S145" s="95">
        <f t="shared" si="20"/>
        <v>2442.6000000000004</v>
      </c>
      <c r="T145" s="85"/>
      <c r="V145" s="77"/>
      <c r="W145" s="77"/>
      <c r="X145" s="77"/>
    </row>
    <row r="146" spans="1:74" ht="18.75">
      <c r="A146" s="122" t="s">
        <v>161</v>
      </c>
      <c r="B146" s="89">
        <v>372</v>
      </c>
      <c r="C146" s="42">
        <v>1317.5</v>
      </c>
      <c r="D146" s="42">
        <v>396.1</v>
      </c>
      <c r="E146" s="108">
        <f t="shared" si="21"/>
        <v>0</v>
      </c>
      <c r="F146" s="63"/>
      <c r="G146" s="63"/>
      <c r="H146" s="63"/>
      <c r="I146" s="69"/>
      <c r="J146" s="69"/>
      <c r="K146" s="42">
        <f>58.7+1.6</f>
        <v>60.300000000000004</v>
      </c>
      <c r="L146" s="42">
        <f>107.3+0.4+203.1</f>
        <v>310.8</v>
      </c>
      <c r="M146" s="7">
        <v>2682.2</v>
      </c>
      <c r="N146" s="123">
        <f t="shared" si="19"/>
        <v>4456.1000000000004</v>
      </c>
      <c r="O146" s="125">
        <f t="shared" si="22"/>
        <v>310.8</v>
      </c>
      <c r="P146" s="39">
        <f t="shared" ref="P146" si="23">ROUND(N146/B146,3)</f>
        <v>11.978999999999999</v>
      </c>
      <c r="Q146" s="93">
        <f t="shared" ref="Q146:Q147" si="24">P146/20.585</f>
        <v>0.5819285887782365</v>
      </c>
      <c r="R146" s="92">
        <f t="shared" ref="R146:R147" si="25">N146+O146</f>
        <v>4766.9000000000005</v>
      </c>
      <c r="S146" s="95">
        <f>SUM(C146:M146)</f>
        <v>4766.8999999999996</v>
      </c>
      <c r="T146" s="85"/>
      <c r="V146" s="77"/>
      <c r="W146" s="77"/>
      <c r="X146" s="77"/>
    </row>
    <row r="147" spans="1:74" ht="18.75">
      <c r="A147" s="122" t="s">
        <v>291</v>
      </c>
      <c r="B147" s="89"/>
      <c r="C147" s="42">
        <f>949.3+0.4</f>
        <v>949.69999999999993</v>
      </c>
      <c r="D147" s="42">
        <f>285.4-0.5</f>
        <v>284.89999999999998</v>
      </c>
      <c r="E147" s="108">
        <f t="shared" si="21"/>
        <v>0</v>
      </c>
      <c r="F147" s="63"/>
      <c r="G147" s="63"/>
      <c r="H147" s="63"/>
      <c r="I147" s="69"/>
      <c r="J147" s="69"/>
      <c r="K147" s="42"/>
      <c r="L147" s="6"/>
      <c r="M147" s="42"/>
      <c r="N147" s="123">
        <f t="shared" si="19"/>
        <v>1234.5999999999999</v>
      </c>
      <c r="O147" s="125">
        <f t="shared" si="22"/>
        <v>0</v>
      </c>
      <c r="P147" s="39"/>
      <c r="Q147" s="93">
        <f t="shared" si="24"/>
        <v>0</v>
      </c>
      <c r="R147" s="92">
        <f t="shared" si="25"/>
        <v>1234.5999999999999</v>
      </c>
      <c r="S147" s="95">
        <f>SUM(C147:M147)</f>
        <v>1234.5999999999999</v>
      </c>
      <c r="T147" s="85"/>
      <c r="V147" s="77"/>
      <c r="W147" s="77"/>
      <c r="X147" s="77"/>
    </row>
    <row r="148" spans="1:74" s="114" customFormat="1" ht="15.75">
      <c r="A148" s="111" t="s">
        <v>263</v>
      </c>
      <c r="B148" s="112">
        <f t="shared" ref="B148:L148" si="26">SUM(B17:B147)</f>
        <v>30745</v>
      </c>
      <c r="C148" s="112">
        <f t="shared" si="26"/>
        <v>139804.69999999998</v>
      </c>
      <c r="D148" s="112">
        <f t="shared" si="26"/>
        <v>42220.999999999978</v>
      </c>
      <c r="E148" s="112">
        <f t="shared" si="26"/>
        <v>8330.3000000000011</v>
      </c>
      <c r="F148" s="112">
        <f t="shared" si="26"/>
        <v>4220.7000000000007</v>
      </c>
      <c r="G148" s="112">
        <f t="shared" si="26"/>
        <v>2975.3</v>
      </c>
      <c r="H148" s="112">
        <f t="shared" si="26"/>
        <v>1134.3000000000002</v>
      </c>
      <c r="I148" s="112">
        <f t="shared" si="26"/>
        <v>0</v>
      </c>
      <c r="J148" s="112">
        <f t="shared" si="26"/>
        <v>0</v>
      </c>
      <c r="K148" s="112">
        <f t="shared" si="26"/>
        <v>6493.0999999999967</v>
      </c>
      <c r="L148" s="112">
        <f t="shared" si="26"/>
        <v>5428.6000000000022</v>
      </c>
      <c r="M148" s="112">
        <f>SUM(M17:M147)</f>
        <v>217329.30000000002</v>
      </c>
      <c r="N148" s="112">
        <f t="shared" ref="N148:O148" si="27">SUM(N17:N147)</f>
        <v>412268.90000000026</v>
      </c>
      <c r="O148" s="112">
        <f t="shared" si="27"/>
        <v>7338.5000000000036</v>
      </c>
      <c r="P148" s="39">
        <f>ROUND(N148/B148,3)</f>
        <v>13.409000000000001</v>
      </c>
      <c r="Q148" s="112">
        <f t="shared" ref="Q148:R148" si="28">SUM(Q17:Q147)</f>
        <v>91.374933203789197</v>
      </c>
      <c r="R148" s="112">
        <f t="shared" si="28"/>
        <v>419607.40000000026</v>
      </c>
      <c r="S148" s="112">
        <f>SUM(S17:S147)</f>
        <v>427937.30000000022</v>
      </c>
      <c r="T148" s="113">
        <f>C148+D148+F148+G148+H148+I148+J148+K148+L148+M148</f>
        <v>419607</v>
      </c>
      <c r="U148" s="80"/>
      <c r="V148" s="80"/>
      <c r="W148" s="80"/>
      <c r="X148" s="80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7"/>
      <c r="BR148" s="87"/>
      <c r="BS148" s="87"/>
      <c r="BT148" s="87"/>
      <c r="BU148" s="87"/>
      <c r="BV148" s="87"/>
    </row>
    <row r="149" spans="1:74">
      <c r="A149" s="89"/>
      <c r="B149" s="89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7"/>
      <c r="Q149" s="7"/>
      <c r="R149" s="39"/>
      <c r="S149" s="25">
        <v>533493.4</v>
      </c>
      <c r="V149" s="80">
        <f>S149/B148</f>
        <v>17.352200357781754</v>
      </c>
    </row>
    <row r="150" spans="1:74">
      <c r="A150" s="6"/>
      <c r="B150" s="115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/>
      <c r="P150" s="7"/>
      <c r="Q150" s="7">
        <v>20.585000000000001</v>
      </c>
      <c r="R150" s="39"/>
    </row>
    <row r="151" spans="1:74">
      <c r="C151" s="95"/>
      <c r="D151" s="95"/>
      <c r="E151" s="95"/>
      <c r="F151" s="95"/>
      <c r="G151" s="95"/>
      <c r="H151" s="95"/>
      <c r="I151" s="95"/>
      <c r="J151" s="95"/>
      <c r="K151" s="95"/>
      <c r="L151" s="95"/>
      <c r="M151" s="95"/>
      <c r="R151" s="116"/>
      <c r="U151" s="117"/>
    </row>
    <row r="152" spans="1:74">
      <c r="N152" s="118"/>
      <c r="R152" s="116"/>
      <c r="S152" s="95"/>
    </row>
    <row r="153" spans="1:74">
      <c r="R153" s="116"/>
    </row>
    <row r="154" spans="1:74">
      <c r="R154" s="116"/>
    </row>
    <row r="155" spans="1:74">
      <c r="R155" s="116"/>
    </row>
    <row r="156" spans="1:74">
      <c r="R156" s="116"/>
    </row>
  </sheetData>
  <mergeCells count="3">
    <mergeCell ref="A1:B1"/>
    <mergeCell ref="A3:R3"/>
    <mergeCell ref="A16:R16"/>
  </mergeCell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sheetPr>
    <tabColor rgb="FF00B050"/>
  </sheetPr>
  <dimension ref="A1:R18"/>
  <sheetViews>
    <sheetView workbookViewId="0">
      <selection activeCell="M23" sqref="M23"/>
    </sheetView>
  </sheetViews>
  <sheetFormatPr defaultRowHeight="15"/>
  <cols>
    <col min="1" max="1" width="58.140625" customWidth="1"/>
    <col min="2" max="2" width="14.5703125" customWidth="1"/>
    <col min="3" max="5" width="14.85546875" customWidth="1"/>
    <col min="6" max="6" width="11.7109375" customWidth="1"/>
    <col min="7" max="7" width="14" customWidth="1"/>
    <col min="8" max="8" width="20" customWidth="1"/>
    <col min="10" max="10" width="10.42578125" style="41" bestFit="1" customWidth="1"/>
    <col min="11" max="11" width="9.28515625" style="41" bestFit="1" customWidth="1"/>
    <col min="12" max="18" width="9.140625" style="41"/>
  </cols>
  <sheetData>
    <row r="1" spans="1:12">
      <c r="G1" s="25" t="s">
        <v>18</v>
      </c>
      <c r="H1" s="25"/>
    </row>
    <row r="2" spans="1:12">
      <c r="G2" s="25" t="s">
        <v>19</v>
      </c>
      <c r="H2" s="25"/>
    </row>
    <row r="3" spans="1:12" ht="15.75">
      <c r="A3" s="198" t="s">
        <v>17</v>
      </c>
      <c r="B3" s="198"/>
      <c r="C3" s="198"/>
      <c r="D3" s="198"/>
      <c r="E3" s="198"/>
      <c r="F3" s="198"/>
      <c r="G3" s="198"/>
      <c r="H3" s="198"/>
    </row>
    <row r="4" spans="1:12" ht="15.75">
      <c r="A4" s="198" t="s">
        <v>283</v>
      </c>
      <c r="B4" s="198"/>
      <c r="C4" s="198"/>
      <c r="D4" s="198"/>
      <c r="E4" s="198"/>
      <c r="F4" s="198"/>
      <c r="G4" s="198"/>
      <c r="H4" s="198"/>
    </row>
    <row r="5" spans="1:12" ht="15.75">
      <c r="A5" s="198" t="s">
        <v>299</v>
      </c>
      <c r="B5" s="198"/>
      <c r="C5" s="198"/>
      <c r="D5" s="198"/>
      <c r="E5" s="198"/>
      <c r="F5" s="198"/>
      <c r="G5" s="198"/>
      <c r="H5" s="198"/>
    </row>
    <row r="6" spans="1:12" ht="15.75">
      <c r="A6" s="199" t="s">
        <v>300</v>
      </c>
      <c r="B6" s="199"/>
      <c r="C6" s="199"/>
      <c r="D6" s="199"/>
      <c r="E6" s="199"/>
      <c r="F6" s="199"/>
      <c r="G6" s="199"/>
      <c r="H6" s="199"/>
    </row>
    <row r="7" spans="1:12" ht="195">
      <c r="A7" s="8" t="s">
        <v>0</v>
      </c>
      <c r="B7" s="4" t="s">
        <v>301</v>
      </c>
      <c r="C7" s="4" t="s">
        <v>302</v>
      </c>
      <c r="D7" s="4" t="s">
        <v>303</v>
      </c>
      <c r="E7" s="152" t="s">
        <v>308</v>
      </c>
      <c r="F7" s="4" t="s">
        <v>304</v>
      </c>
      <c r="G7" s="4" t="s">
        <v>305</v>
      </c>
      <c r="H7" s="4" t="s">
        <v>306</v>
      </c>
    </row>
    <row r="8" spans="1:12">
      <c r="A8" s="1"/>
      <c r="B8" s="7" t="s">
        <v>7</v>
      </c>
      <c r="C8" s="7" t="s">
        <v>7</v>
      </c>
      <c r="D8" s="7" t="s">
        <v>7</v>
      </c>
      <c r="E8" s="7" t="s">
        <v>7</v>
      </c>
      <c r="F8" s="21" t="s">
        <v>8</v>
      </c>
      <c r="G8" s="21" t="s">
        <v>9</v>
      </c>
      <c r="H8" s="21" t="s">
        <v>9</v>
      </c>
    </row>
    <row r="9" spans="1:12">
      <c r="A9" s="2">
        <v>1</v>
      </c>
      <c r="B9" s="2">
        <v>2</v>
      </c>
      <c r="C9" s="2">
        <v>3</v>
      </c>
      <c r="D9" s="2">
        <v>4</v>
      </c>
      <c r="E9" s="2">
        <v>5</v>
      </c>
      <c r="F9" s="2">
        <v>6</v>
      </c>
      <c r="G9" s="2">
        <v>7</v>
      </c>
      <c r="H9" s="2">
        <v>8</v>
      </c>
    </row>
    <row r="10" spans="1:12">
      <c r="A10" s="193" t="s">
        <v>316</v>
      </c>
      <c r="B10" s="194"/>
      <c r="C10" s="194"/>
      <c r="D10" s="194"/>
      <c r="E10" s="194"/>
      <c r="F10" s="194"/>
      <c r="G10" s="194"/>
      <c r="H10" s="195"/>
      <c r="J10" s="116"/>
    </row>
    <row r="11" spans="1:12" ht="29.25">
      <c r="A11" s="150" t="s">
        <v>315</v>
      </c>
      <c r="B11" s="21"/>
      <c r="C11" s="37">
        <v>17.541437999999999</v>
      </c>
      <c r="D11" s="37">
        <f>B11+C11</f>
        <v>17.541437999999999</v>
      </c>
      <c r="E11" s="37">
        <v>6.593</v>
      </c>
      <c r="F11" s="26">
        <v>30745</v>
      </c>
      <c r="G11" s="26">
        <v>6870.3</v>
      </c>
      <c r="H11" s="27">
        <f>(D11*F11)+G11-0.1</f>
        <v>546181.71131000004</v>
      </c>
      <c r="J11" s="95">
        <v>546181.69999999995</v>
      </c>
      <c r="K11" s="41">
        <v>20585</v>
      </c>
      <c r="L11" s="40"/>
    </row>
    <row r="12" spans="1:12">
      <c r="A12" s="6"/>
      <c r="B12" s="1"/>
      <c r="C12" s="2"/>
      <c r="D12" s="1"/>
      <c r="E12" s="1"/>
      <c r="F12" s="1"/>
      <c r="G12" s="2"/>
      <c r="H12" s="1"/>
    </row>
    <row r="13" spans="1:12">
      <c r="A13" s="193" t="s">
        <v>317</v>
      </c>
      <c r="B13" s="194"/>
      <c r="C13" s="194"/>
      <c r="D13" s="194"/>
      <c r="E13" s="194"/>
      <c r="F13" s="194"/>
      <c r="G13" s="194"/>
      <c r="H13" s="195"/>
    </row>
    <row r="14" spans="1:12" ht="29.25">
      <c r="A14" s="150" t="s">
        <v>315</v>
      </c>
      <c r="B14" s="21"/>
      <c r="C14" s="37">
        <v>17.175599999999999</v>
      </c>
      <c r="D14" s="37">
        <f>B14+C14</f>
        <v>17.175599999999999</v>
      </c>
      <c r="E14" s="37">
        <v>4.1859999999999999</v>
      </c>
      <c r="F14" s="26">
        <v>30745</v>
      </c>
      <c r="G14" s="26">
        <v>5428.6</v>
      </c>
      <c r="H14" s="27">
        <f>(D14*F14)+G14+1</f>
        <v>533493.4219999999</v>
      </c>
      <c r="J14" s="41">
        <v>533493.4</v>
      </c>
      <c r="K14" s="40"/>
    </row>
    <row r="15" spans="1:12">
      <c r="A15" s="30"/>
      <c r="B15" s="31"/>
      <c r="C15" s="50"/>
      <c r="D15" s="31"/>
      <c r="E15" s="31"/>
      <c r="F15" s="31"/>
      <c r="G15" s="50"/>
      <c r="H15" s="32"/>
    </row>
    <row r="16" spans="1:12">
      <c r="A16" s="193" t="s">
        <v>318</v>
      </c>
      <c r="B16" s="194"/>
      <c r="C16" s="194"/>
      <c r="D16" s="194"/>
      <c r="E16" s="194"/>
      <c r="F16" s="194"/>
      <c r="G16" s="194"/>
      <c r="H16" s="195"/>
    </row>
    <row r="17" spans="1:10" ht="29.25">
      <c r="A17" s="150" t="s">
        <v>315</v>
      </c>
      <c r="B17" s="21"/>
      <c r="C17" s="37">
        <v>17.571999999999999</v>
      </c>
      <c r="D17" s="37">
        <f>B17+C17</f>
        <v>17.571999999999999</v>
      </c>
      <c r="E17" s="37">
        <v>1.8859999999999999</v>
      </c>
      <c r="F17" s="26">
        <v>30745</v>
      </c>
      <c r="G17" s="26">
        <v>2542.9</v>
      </c>
      <c r="H17" s="27">
        <f>(D17*F17)+G17+2.8</f>
        <v>542796.84000000008</v>
      </c>
      <c r="J17" s="41">
        <v>542796.80000000005</v>
      </c>
    </row>
    <row r="18" spans="1:10">
      <c r="A18" s="6"/>
      <c r="B18" s="1"/>
      <c r="C18" s="2"/>
      <c r="D18" s="1"/>
      <c r="E18" s="1"/>
      <c r="F18" s="1"/>
      <c r="G18" s="2"/>
      <c r="H18" s="1"/>
    </row>
  </sheetData>
  <mergeCells count="7">
    <mergeCell ref="A13:H13"/>
    <mergeCell ref="A16:H16"/>
    <mergeCell ref="A3:H3"/>
    <mergeCell ref="A4:H4"/>
    <mergeCell ref="A5:H5"/>
    <mergeCell ref="A6:H6"/>
    <mergeCell ref="A10:H10"/>
  </mergeCells>
  <pageMargins left="0.25" right="0.25" top="0.68" bottom="0.75" header="0.3" footer="0.3"/>
  <pageSetup paperSize="9" scale="87" orientation="landscape" verticalDpi="0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>
  <sheetPr>
    <tabColor rgb="FF00B050"/>
  </sheetPr>
  <dimension ref="A1:BW142"/>
  <sheetViews>
    <sheetView workbookViewId="0">
      <pane xSplit="2010" ySplit="2685" topLeftCell="F127" activePane="bottomRight"/>
      <selection sqref="A1:XFD1048576"/>
      <selection pane="topRight" activeCell="W1" sqref="W1:W1048576"/>
      <selection pane="bottomLeft" activeCell="A3" sqref="A3:XFD16"/>
      <selection pane="bottomRight" activeCell="V5" sqref="V5"/>
    </sheetView>
  </sheetViews>
  <sheetFormatPr defaultRowHeight="15"/>
  <cols>
    <col min="1" max="1" width="15" style="25" customWidth="1"/>
    <col min="2" max="2" width="11.7109375" style="25" customWidth="1"/>
    <col min="3" max="3" width="10.85546875" style="25" customWidth="1"/>
    <col min="4" max="4" width="9.7109375" style="25" customWidth="1"/>
    <col min="5" max="5" width="11" style="25" customWidth="1"/>
    <col min="6" max="6" width="9.85546875" style="25" customWidth="1"/>
    <col min="7" max="7" width="10.140625" style="25" bestFit="1" customWidth="1"/>
    <col min="8" max="8" width="9.7109375" style="25" bestFit="1" customWidth="1"/>
    <col min="9" max="9" width="9.42578125" style="25" customWidth="1"/>
    <col min="10" max="10" width="11.28515625" style="25" bestFit="1" customWidth="1"/>
    <col min="11" max="11" width="10.28515625" style="25" bestFit="1" customWidth="1"/>
    <col min="12" max="12" width="11.28515625" style="25" bestFit="1" customWidth="1"/>
    <col min="13" max="13" width="10.140625" style="25" bestFit="1" customWidth="1"/>
    <col min="14" max="14" width="11.140625" style="87" customWidth="1"/>
    <col min="15" max="15" width="10" style="25" customWidth="1"/>
    <col min="16" max="16" width="16" style="25" customWidth="1"/>
    <col min="17" max="17" width="14.140625" style="25" bestFit="1" customWidth="1"/>
    <col min="18" max="18" width="12.85546875" style="25" customWidth="1"/>
    <col min="19" max="19" width="16.5703125" style="127" customWidth="1"/>
    <col min="20" max="20" width="10.42578125" style="25" customWidth="1"/>
    <col min="21" max="21" width="10.42578125" style="80" bestFit="1" customWidth="1"/>
    <col min="22" max="23" width="9.42578125" style="80" bestFit="1" customWidth="1"/>
    <col min="24" max="25" width="9.140625" style="80"/>
    <col min="26" max="75" width="9.140625" style="87"/>
    <col min="76" max="16384" width="9.140625" style="25"/>
  </cols>
  <sheetData>
    <row r="1" spans="1:75">
      <c r="A1" s="207" t="s">
        <v>273</v>
      </c>
      <c r="B1" s="207"/>
      <c r="C1" s="78"/>
      <c r="D1" s="78"/>
      <c r="E1" s="79"/>
      <c r="F1" s="79"/>
      <c r="G1" s="79"/>
      <c r="H1" s="78"/>
      <c r="I1" s="78"/>
      <c r="J1" s="78"/>
      <c r="K1" s="78"/>
      <c r="L1" s="78"/>
      <c r="M1" s="78"/>
      <c r="N1" s="130"/>
    </row>
    <row r="2" spans="1:75" ht="104.25" customHeight="1">
      <c r="A2" s="8" t="s">
        <v>11</v>
      </c>
      <c r="B2" s="81" t="s">
        <v>260</v>
      </c>
      <c r="C2" s="71">
        <v>211</v>
      </c>
      <c r="D2" s="71">
        <v>213</v>
      </c>
      <c r="E2" s="153" t="s">
        <v>13</v>
      </c>
      <c r="F2" s="153" t="s">
        <v>267</v>
      </c>
      <c r="G2" s="153" t="s">
        <v>12</v>
      </c>
      <c r="H2" s="153" t="s">
        <v>14</v>
      </c>
      <c r="I2" s="153" t="s">
        <v>269</v>
      </c>
      <c r="J2" s="71" t="s">
        <v>15</v>
      </c>
      <c r="K2" s="73" t="s">
        <v>261</v>
      </c>
      <c r="L2" s="82" t="s">
        <v>296</v>
      </c>
      <c r="M2" s="139" t="s">
        <v>310</v>
      </c>
      <c r="N2" s="135" t="s">
        <v>297</v>
      </c>
      <c r="O2" s="136" t="s">
        <v>348</v>
      </c>
      <c r="P2" s="137" t="s">
        <v>312</v>
      </c>
      <c r="Q2" s="148" t="s">
        <v>307</v>
      </c>
      <c r="R2" s="149" t="s">
        <v>309</v>
      </c>
      <c r="S2" s="8" t="s">
        <v>313</v>
      </c>
      <c r="T2" s="43" t="s">
        <v>293</v>
      </c>
      <c r="U2" s="75"/>
      <c r="V2" s="76" t="s">
        <v>346</v>
      </c>
      <c r="W2" s="177" t="s">
        <v>347</v>
      </c>
    </row>
    <row r="3" spans="1:75" ht="18.75">
      <c r="A3" s="7" t="s">
        <v>66</v>
      </c>
      <c r="B3" s="89">
        <v>155</v>
      </c>
      <c r="C3" s="51">
        <v>741</v>
      </c>
      <c r="D3" s="51">
        <v>164.1</v>
      </c>
      <c r="E3" s="63">
        <v>203</v>
      </c>
      <c r="F3" s="63">
        <v>771.6</v>
      </c>
      <c r="G3" s="63">
        <v>78.7</v>
      </c>
      <c r="H3" s="64"/>
      <c r="I3" s="64"/>
      <c r="J3" s="42">
        <v>154</v>
      </c>
      <c r="K3" s="42">
        <f>665.4+51.6</f>
        <v>717</v>
      </c>
      <c r="L3" s="123">
        <f>ROUND(C3+D3+H3+J3+K3+F3+G3+E3,1)</f>
        <v>2829.4</v>
      </c>
      <c r="M3" s="42">
        <v>30.7</v>
      </c>
      <c r="N3" s="138">
        <f>E3+F3+G3+H3+I3</f>
        <v>1053.3</v>
      </c>
      <c r="O3" s="125">
        <v>99.3</v>
      </c>
      <c r="P3" s="109">
        <f>N3+O3</f>
        <v>1152.5999999999999</v>
      </c>
      <c r="Q3" s="39">
        <f t="shared" ref="Q3:Q34" si="0">ROUND(L3/B3,3)</f>
        <v>18.254000000000001</v>
      </c>
      <c r="R3" s="39">
        <f t="shared" ref="R3:R66" si="1">P3/B3</f>
        <v>7.436129032258064</v>
      </c>
      <c r="S3" s="128">
        <f>Q3/20.585</f>
        <v>0.88676220548943407</v>
      </c>
      <c r="T3" s="92">
        <f>L3+M3</f>
        <v>2860.1</v>
      </c>
      <c r="U3" s="85"/>
      <c r="V3" s="178">
        <f>N3/B3</f>
        <v>6.7954838709677414</v>
      </c>
      <c r="W3" s="180">
        <f>O3/B3</f>
        <v>0.64064516129032256</v>
      </c>
    </row>
    <row r="4" spans="1:75" s="107" customFormat="1" ht="18.75">
      <c r="A4" s="120">
        <v>16</v>
      </c>
      <c r="B4" s="106">
        <v>82</v>
      </c>
      <c r="C4" s="52">
        <v>741</v>
      </c>
      <c r="D4" s="52">
        <v>164.1</v>
      </c>
      <c r="E4" s="65">
        <v>294.7</v>
      </c>
      <c r="F4" s="65">
        <v>384.9</v>
      </c>
      <c r="G4" s="65">
        <v>57.1</v>
      </c>
      <c r="H4" s="66"/>
      <c r="I4" s="66"/>
      <c r="J4" s="90">
        <v>154</v>
      </c>
      <c r="K4" s="90">
        <f>896.2+69.4</f>
        <v>965.6</v>
      </c>
      <c r="L4" s="123">
        <f t="shared" ref="L4:L67" si="2">ROUND(C4+D4+H4+J4+K4+F4+G4+E4,1)</f>
        <v>2761.4</v>
      </c>
      <c r="M4" s="42">
        <v>31</v>
      </c>
      <c r="N4" s="138">
        <f t="shared" ref="N4:N67" si="3">E4+F4+G4+H4+I4</f>
        <v>736.69999999999993</v>
      </c>
      <c r="O4" s="125">
        <v>113.7</v>
      </c>
      <c r="P4" s="109">
        <f t="shared" ref="P4:P67" si="4">N4+O4</f>
        <v>850.4</v>
      </c>
      <c r="Q4" s="39">
        <f t="shared" si="0"/>
        <v>33.676000000000002</v>
      </c>
      <c r="R4" s="39">
        <f t="shared" si="1"/>
        <v>10.370731707317074</v>
      </c>
      <c r="S4" s="157">
        <f t="shared" ref="S4:S67" si="5">Q4/20.585</f>
        <v>1.6359485061938306</v>
      </c>
      <c r="T4" s="92">
        <f t="shared" ref="T4:T67" si="6">L4+M4</f>
        <v>2792.4</v>
      </c>
      <c r="U4" s="85"/>
      <c r="V4" s="178">
        <f>N4/B4</f>
        <v>8.9841463414634131</v>
      </c>
      <c r="W4" s="180">
        <f t="shared" ref="W4:W67" si="7">O4/B4</f>
        <v>1.3865853658536587</v>
      </c>
      <c r="X4" s="80"/>
      <c r="Y4" s="80"/>
      <c r="Z4" s="87"/>
      <c r="AA4" s="87"/>
      <c r="AB4" s="87"/>
      <c r="AC4" s="87"/>
      <c r="AD4" s="87"/>
      <c r="AE4" s="87"/>
      <c r="AF4" s="87"/>
      <c r="AG4" s="87"/>
      <c r="AH4" s="87"/>
      <c r="AI4" s="87"/>
      <c r="AJ4" s="87"/>
      <c r="AK4" s="87"/>
      <c r="AL4" s="87"/>
      <c r="AM4" s="87"/>
      <c r="AN4" s="87"/>
      <c r="AO4" s="87"/>
      <c r="AP4" s="87"/>
      <c r="AQ4" s="87"/>
      <c r="AR4" s="87"/>
      <c r="AS4" s="87"/>
      <c r="AT4" s="87"/>
      <c r="AU4" s="87"/>
      <c r="AV4" s="87"/>
      <c r="AW4" s="87"/>
      <c r="AX4" s="87"/>
      <c r="AY4" s="87"/>
      <c r="AZ4" s="87"/>
      <c r="BA4" s="87"/>
      <c r="BB4" s="87"/>
      <c r="BC4" s="87"/>
      <c r="BD4" s="87"/>
      <c r="BE4" s="87"/>
      <c r="BF4" s="87"/>
      <c r="BG4" s="87"/>
      <c r="BH4" s="87"/>
      <c r="BI4" s="87"/>
      <c r="BJ4" s="87"/>
      <c r="BK4" s="87"/>
      <c r="BL4" s="87"/>
      <c r="BM4" s="87"/>
      <c r="BN4" s="87"/>
      <c r="BO4" s="87"/>
      <c r="BP4" s="87"/>
      <c r="BQ4" s="87"/>
      <c r="BR4" s="87"/>
      <c r="BS4" s="87"/>
      <c r="BT4" s="87"/>
      <c r="BU4" s="87"/>
      <c r="BV4" s="87"/>
      <c r="BW4" s="87"/>
    </row>
    <row r="5" spans="1:75" ht="18.75">
      <c r="A5" s="7" t="s">
        <v>67</v>
      </c>
      <c r="B5" s="89">
        <v>123</v>
      </c>
      <c r="C5" s="51">
        <v>647.20000000000005</v>
      </c>
      <c r="D5" s="51">
        <v>143.30000000000001</v>
      </c>
      <c r="E5" s="63">
        <v>275.10000000000002</v>
      </c>
      <c r="F5" s="63">
        <v>297.39999999999998</v>
      </c>
      <c r="G5" s="63">
        <v>82.4</v>
      </c>
      <c r="H5" s="64"/>
      <c r="I5" s="64"/>
      <c r="J5" s="108">
        <v>130</v>
      </c>
      <c r="K5" s="6">
        <f>527.2+40.8</f>
        <v>568</v>
      </c>
      <c r="L5" s="123">
        <f t="shared" si="2"/>
        <v>2143.4</v>
      </c>
      <c r="M5" s="42">
        <v>16.7</v>
      </c>
      <c r="N5" s="138">
        <f t="shared" si="3"/>
        <v>654.9</v>
      </c>
      <c r="O5" s="125">
        <v>94.5</v>
      </c>
      <c r="P5" s="109">
        <f t="shared" si="4"/>
        <v>749.4</v>
      </c>
      <c r="Q5" s="39">
        <f t="shared" si="0"/>
        <v>17.425999999999998</v>
      </c>
      <c r="R5" s="39">
        <f t="shared" si="1"/>
        <v>6.0926829268292684</v>
      </c>
      <c r="S5" s="128">
        <f t="shared" si="5"/>
        <v>0.84653874180228306</v>
      </c>
      <c r="T5" s="92">
        <f t="shared" si="6"/>
        <v>2160.1</v>
      </c>
      <c r="U5" s="85"/>
      <c r="V5" s="178">
        <f t="shared" ref="V5:V67" si="8">N5/B5</f>
        <v>5.3243902439024389</v>
      </c>
      <c r="W5" s="180">
        <f t="shared" si="7"/>
        <v>0.76829268292682928</v>
      </c>
    </row>
    <row r="6" spans="1:75" ht="18.75">
      <c r="A6" s="7" t="s">
        <v>68</v>
      </c>
      <c r="B6" s="89">
        <v>183</v>
      </c>
      <c r="C6" s="51">
        <v>811.4</v>
      </c>
      <c r="D6" s="51">
        <v>179.7</v>
      </c>
      <c r="E6" s="63">
        <v>206.3</v>
      </c>
      <c r="F6" s="63">
        <v>350.6</v>
      </c>
      <c r="G6" s="63">
        <v>62.8</v>
      </c>
      <c r="H6" s="64"/>
      <c r="I6" s="64"/>
      <c r="J6" s="108">
        <v>154</v>
      </c>
      <c r="K6" s="6">
        <f>858.1+66.4</f>
        <v>924.5</v>
      </c>
      <c r="L6" s="123">
        <f t="shared" si="2"/>
        <v>2689.3</v>
      </c>
      <c r="M6" s="42">
        <v>24</v>
      </c>
      <c r="N6" s="138">
        <f t="shared" si="3"/>
        <v>619.70000000000005</v>
      </c>
      <c r="O6" s="125">
        <v>105.3</v>
      </c>
      <c r="P6" s="109">
        <f t="shared" si="4"/>
        <v>725</v>
      </c>
      <c r="Q6" s="39">
        <f t="shared" si="0"/>
        <v>14.696</v>
      </c>
      <c r="R6" s="39">
        <f t="shared" si="1"/>
        <v>3.9617486338797816</v>
      </c>
      <c r="S6" s="128">
        <f t="shared" si="5"/>
        <v>0.71391790138450328</v>
      </c>
      <c r="T6" s="92">
        <f t="shared" si="6"/>
        <v>2713.3</v>
      </c>
      <c r="U6" s="85"/>
      <c r="V6" s="178">
        <f t="shared" si="8"/>
        <v>3.3863387978142079</v>
      </c>
      <c r="W6" s="180">
        <f t="shared" si="7"/>
        <v>0.57540983606557372</v>
      </c>
    </row>
    <row r="7" spans="1:75" ht="18.75">
      <c r="A7" s="7" t="s">
        <v>69</v>
      </c>
      <c r="B7" s="89">
        <v>173</v>
      </c>
      <c r="C7" s="51">
        <v>741</v>
      </c>
      <c r="D7" s="51">
        <v>164.1</v>
      </c>
      <c r="E7" s="63">
        <v>278.3</v>
      </c>
      <c r="F7" s="63">
        <v>479.4</v>
      </c>
      <c r="G7" s="63">
        <v>48.3</v>
      </c>
      <c r="H7" s="64"/>
      <c r="I7" s="64"/>
      <c r="J7" s="108">
        <v>154</v>
      </c>
      <c r="K7" s="6">
        <f>745.3+57.7</f>
        <v>803</v>
      </c>
      <c r="L7" s="123">
        <f t="shared" si="2"/>
        <v>2668.1</v>
      </c>
      <c r="M7" s="42">
        <v>20.9</v>
      </c>
      <c r="N7" s="138">
        <f t="shared" si="3"/>
        <v>806</v>
      </c>
      <c r="O7" s="125">
        <v>96.6</v>
      </c>
      <c r="P7" s="109">
        <f t="shared" si="4"/>
        <v>902.6</v>
      </c>
      <c r="Q7" s="39">
        <f t="shared" si="0"/>
        <v>15.423</v>
      </c>
      <c r="R7" s="39">
        <f t="shared" si="1"/>
        <v>5.2173410404624283</v>
      </c>
      <c r="S7" s="128">
        <f t="shared" si="5"/>
        <v>0.74923487976682046</v>
      </c>
      <c r="T7" s="92">
        <f t="shared" si="6"/>
        <v>2689</v>
      </c>
      <c r="U7" s="85"/>
      <c r="V7" s="178">
        <f t="shared" si="8"/>
        <v>4.6589595375722546</v>
      </c>
      <c r="W7" s="180">
        <f t="shared" si="7"/>
        <v>0.55838150289017341</v>
      </c>
    </row>
    <row r="8" spans="1:75" ht="18.75">
      <c r="A8" s="7" t="s">
        <v>70</v>
      </c>
      <c r="B8" s="89">
        <v>207</v>
      </c>
      <c r="C8" s="51">
        <v>787.9</v>
      </c>
      <c r="D8" s="51">
        <v>174.5</v>
      </c>
      <c r="E8" s="63">
        <v>225.9</v>
      </c>
      <c r="F8" s="63">
        <v>537.1</v>
      </c>
      <c r="G8" s="63">
        <v>57.4</v>
      </c>
      <c r="H8" s="64"/>
      <c r="I8" s="64"/>
      <c r="J8" s="108">
        <v>154</v>
      </c>
      <c r="K8" s="6">
        <f>987.2+76.5</f>
        <v>1063.7</v>
      </c>
      <c r="L8" s="123">
        <f t="shared" si="2"/>
        <v>3000.5</v>
      </c>
      <c r="M8" s="42">
        <v>28.8</v>
      </c>
      <c r="N8" s="138">
        <f t="shared" si="3"/>
        <v>820.4</v>
      </c>
      <c r="O8" s="125">
        <v>119.3</v>
      </c>
      <c r="P8" s="109">
        <f t="shared" si="4"/>
        <v>939.69999999999993</v>
      </c>
      <c r="Q8" s="39">
        <f t="shared" si="0"/>
        <v>14.494999999999999</v>
      </c>
      <c r="R8" s="39">
        <f t="shared" si="1"/>
        <v>4.5396135265700481</v>
      </c>
      <c r="S8" s="128">
        <f t="shared" si="5"/>
        <v>0.70415350983726011</v>
      </c>
      <c r="T8" s="92">
        <f t="shared" si="6"/>
        <v>3029.3</v>
      </c>
      <c r="U8" s="85"/>
      <c r="V8" s="178">
        <f t="shared" si="8"/>
        <v>3.9632850241545894</v>
      </c>
      <c r="W8" s="180">
        <f t="shared" si="7"/>
        <v>0.57632850241545897</v>
      </c>
    </row>
    <row r="9" spans="1:75" ht="18.75">
      <c r="A9" s="7" t="s">
        <v>71</v>
      </c>
      <c r="B9" s="89">
        <v>203</v>
      </c>
      <c r="C9" s="51">
        <v>787.9</v>
      </c>
      <c r="D9" s="51">
        <v>174.5</v>
      </c>
      <c r="E9" s="63">
        <v>360.2</v>
      </c>
      <c r="F9" s="63">
        <v>594.79999999999995</v>
      </c>
      <c r="G9" s="63">
        <v>64.400000000000006</v>
      </c>
      <c r="H9" s="64"/>
      <c r="I9" s="64"/>
      <c r="J9" s="108">
        <v>154</v>
      </c>
      <c r="K9" s="6">
        <f>974.4+75.5</f>
        <v>1049.9000000000001</v>
      </c>
      <c r="L9" s="123">
        <f t="shared" si="2"/>
        <v>3185.7</v>
      </c>
      <c r="M9" s="42">
        <v>25.3</v>
      </c>
      <c r="N9" s="138">
        <f t="shared" si="3"/>
        <v>1019.4</v>
      </c>
      <c r="O9" s="125">
        <v>135.5</v>
      </c>
      <c r="P9" s="109">
        <f t="shared" si="4"/>
        <v>1154.9000000000001</v>
      </c>
      <c r="Q9" s="39">
        <f t="shared" si="0"/>
        <v>15.693</v>
      </c>
      <c r="R9" s="39">
        <f t="shared" si="1"/>
        <v>5.6891625615763548</v>
      </c>
      <c r="S9" s="128">
        <f t="shared" si="5"/>
        <v>0.76235122662132615</v>
      </c>
      <c r="T9" s="92">
        <f t="shared" si="6"/>
        <v>3211</v>
      </c>
      <c r="U9" s="85"/>
      <c r="V9" s="178">
        <f t="shared" si="8"/>
        <v>5.0216748768472907</v>
      </c>
      <c r="W9" s="180">
        <f t="shared" si="7"/>
        <v>0.66748768472906406</v>
      </c>
    </row>
    <row r="10" spans="1:75" ht="18.75">
      <c r="A10" s="7" t="s">
        <v>72</v>
      </c>
      <c r="B10" s="89">
        <v>188</v>
      </c>
      <c r="C10" s="51">
        <v>787.9</v>
      </c>
      <c r="D10" s="51">
        <v>174.5</v>
      </c>
      <c r="E10" s="63">
        <v>301.3</v>
      </c>
      <c r="F10" s="63">
        <v>474.1</v>
      </c>
      <c r="G10" s="63">
        <v>68.3</v>
      </c>
      <c r="H10" s="64"/>
      <c r="I10" s="64"/>
      <c r="J10" s="108">
        <v>154</v>
      </c>
      <c r="K10" s="6">
        <f>961.7+74.5</f>
        <v>1036.2</v>
      </c>
      <c r="L10" s="123">
        <f t="shared" si="2"/>
        <v>2996.3</v>
      </c>
      <c r="M10" s="42">
        <v>26.5</v>
      </c>
      <c r="N10" s="138">
        <f t="shared" si="3"/>
        <v>843.7</v>
      </c>
      <c r="O10" s="125">
        <v>120.1</v>
      </c>
      <c r="P10" s="109">
        <f t="shared" si="4"/>
        <v>963.80000000000007</v>
      </c>
      <c r="Q10" s="39">
        <f t="shared" si="0"/>
        <v>15.938000000000001</v>
      </c>
      <c r="R10" s="39">
        <f t="shared" si="1"/>
        <v>5.1265957446808512</v>
      </c>
      <c r="S10" s="128">
        <f t="shared" si="5"/>
        <v>0.77425309691522959</v>
      </c>
      <c r="T10" s="92">
        <f t="shared" si="6"/>
        <v>3022.8</v>
      </c>
      <c r="U10" s="85"/>
      <c r="V10" s="178">
        <f t="shared" si="8"/>
        <v>4.4877659574468085</v>
      </c>
      <c r="W10" s="180">
        <f t="shared" si="7"/>
        <v>0.63882978723404249</v>
      </c>
    </row>
    <row r="11" spans="1:75" ht="18.75">
      <c r="A11" s="7" t="s">
        <v>73</v>
      </c>
      <c r="B11" s="89">
        <v>180</v>
      </c>
      <c r="C11" s="51">
        <v>741</v>
      </c>
      <c r="D11" s="51">
        <v>164.1</v>
      </c>
      <c r="E11" s="63">
        <v>347.1</v>
      </c>
      <c r="F11" s="63">
        <v>497.6</v>
      </c>
      <c r="G11" s="63">
        <v>61.2</v>
      </c>
      <c r="H11" s="64"/>
      <c r="I11" s="64"/>
      <c r="J11" s="108">
        <v>154</v>
      </c>
      <c r="K11" s="6">
        <f>714.5+55.3</f>
        <v>769.8</v>
      </c>
      <c r="L11" s="123">
        <f t="shared" si="2"/>
        <v>2734.8</v>
      </c>
      <c r="M11" s="42">
        <v>38.1</v>
      </c>
      <c r="N11" s="138">
        <f t="shared" si="3"/>
        <v>905.90000000000009</v>
      </c>
      <c r="O11" s="125">
        <v>132.5</v>
      </c>
      <c r="P11" s="109">
        <f t="shared" si="4"/>
        <v>1038.4000000000001</v>
      </c>
      <c r="Q11" s="39">
        <f t="shared" si="0"/>
        <v>15.193</v>
      </c>
      <c r="R11" s="39">
        <f t="shared" si="1"/>
        <v>5.7688888888888892</v>
      </c>
      <c r="S11" s="128">
        <f t="shared" si="5"/>
        <v>0.73806169540927857</v>
      </c>
      <c r="T11" s="92">
        <f t="shared" si="6"/>
        <v>2772.9</v>
      </c>
      <c r="U11" s="85"/>
      <c r="V11" s="178">
        <f t="shared" si="8"/>
        <v>5.0327777777777785</v>
      </c>
      <c r="W11" s="180">
        <f t="shared" si="7"/>
        <v>0.73611111111111116</v>
      </c>
    </row>
    <row r="12" spans="1:75" s="107" customFormat="1" ht="18.75">
      <c r="A12" s="120">
        <v>75</v>
      </c>
      <c r="B12" s="106">
        <v>93</v>
      </c>
      <c r="C12" s="52">
        <v>741</v>
      </c>
      <c r="D12" s="52">
        <v>164.1</v>
      </c>
      <c r="E12" s="65">
        <v>294.7</v>
      </c>
      <c r="F12" s="65">
        <v>510.9</v>
      </c>
      <c r="G12" s="65">
        <v>52.7</v>
      </c>
      <c r="H12" s="66"/>
      <c r="I12" s="66"/>
      <c r="J12" s="96">
        <v>154</v>
      </c>
      <c r="K12" s="97">
        <f>516.3+39.9</f>
        <v>556.19999999999993</v>
      </c>
      <c r="L12" s="123">
        <f t="shared" si="2"/>
        <v>2473.6</v>
      </c>
      <c r="M12" s="42">
        <v>29.2</v>
      </c>
      <c r="N12" s="138">
        <f t="shared" si="3"/>
        <v>858.3</v>
      </c>
      <c r="O12" s="125">
        <v>114.3</v>
      </c>
      <c r="P12" s="109">
        <f t="shared" si="4"/>
        <v>972.59999999999991</v>
      </c>
      <c r="Q12" s="39">
        <f t="shared" si="0"/>
        <v>26.597999999999999</v>
      </c>
      <c r="R12" s="39">
        <f t="shared" si="1"/>
        <v>10.458064516129031</v>
      </c>
      <c r="S12" s="157">
        <f t="shared" si="5"/>
        <v>1.2921059023560844</v>
      </c>
      <c r="T12" s="92">
        <f t="shared" si="6"/>
        <v>2502.7999999999997</v>
      </c>
      <c r="U12" s="85"/>
      <c r="V12" s="178">
        <f t="shared" si="8"/>
        <v>9.2290322580645157</v>
      </c>
      <c r="W12" s="180">
        <f t="shared" si="7"/>
        <v>1.2290322580645161</v>
      </c>
      <c r="X12" s="80"/>
      <c r="Y12" s="80"/>
      <c r="Z12" s="87"/>
      <c r="AA12" s="87"/>
      <c r="AB12" s="87"/>
      <c r="AC12" s="87"/>
      <c r="AD12" s="87"/>
      <c r="AE12" s="87"/>
      <c r="AF12" s="87"/>
      <c r="AG12" s="87"/>
      <c r="AH12" s="87"/>
      <c r="AI12" s="87"/>
      <c r="AJ12" s="87"/>
      <c r="AK12" s="87"/>
      <c r="AL12" s="87"/>
      <c r="AM12" s="87"/>
      <c r="AN12" s="87"/>
      <c r="AO12" s="87"/>
      <c r="AP12" s="87"/>
      <c r="AQ12" s="87"/>
      <c r="AR12" s="87"/>
      <c r="AS12" s="87"/>
      <c r="AT12" s="87"/>
      <c r="AU12" s="87"/>
      <c r="AV12" s="87"/>
      <c r="AW12" s="87"/>
      <c r="AX12" s="87"/>
      <c r="AY12" s="87"/>
      <c r="AZ12" s="87"/>
      <c r="BA12" s="87"/>
      <c r="BB12" s="87"/>
      <c r="BC12" s="87"/>
      <c r="BD12" s="87"/>
      <c r="BE12" s="87"/>
      <c r="BF12" s="87"/>
      <c r="BG12" s="87"/>
      <c r="BH12" s="87"/>
      <c r="BI12" s="87"/>
      <c r="BJ12" s="87"/>
      <c r="BK12" s="87"/>
      <c r="BL12" s="87"/>
      <c r="BM12" s="87"/>
      <c r="BN12" s="87"/>
      <c r="BO12" s="87"/>
      <c r="BP12" s="87"/>
      <c r="BQ12" s="87"/>
      <c r="BR12" s="87"/>
      <c r="BS12" s="87"/>
      <c r="BT12" s="87"/>
      <c r="BU12" s="87"/>
      <c r="BV12" s="87"/>
      <c r="BW12" s="87"/>
    </row>
    <row r="13" spans="1:75" s="107" customFormat="1" ht="18.75">
      <c r="A13" s="120">
        <v>80</v>
      </c>
      <c r="B13" s="106">
        <v>360</v>
      </c>
      <c r="C13" s="52">
        <v>1529</v>
      </c>
      <c r="D13" s="52">
        <v>338.5</v>
      </c>
      <c r="E13" s="65">
        <v>665.2</v>
      </c>
      <c r="F13" s="65">
        <v>1459.3</v>
      </c>
      <c r="G13" s="65">
        <v>112</v>
      </c>
      <c r="H13" s="66"/>
      <c r="I13" s="66"/>
      <c r="J13" s="90">
        <v>239</v>
      </c>
      <c r="K13" s="107">
        <f>1708.9+132.3</f>
        <v>1841.2</v>
      </c>
      <c r="L13" s="123">
        <f t="shared" si="2"/>
        <v>6184.2</v>
      </c>
      <c r="M13" s="42">
        <v>30.7</v>
      </c>
      <c r="N13" s="138">
        <f t="shared" si="3"/>
        <v>2236.5</v>
      </c>
      <c r="O13" s="125">
        <v>186</v>
      </c>
      <c r="P13" s="109">
        <f t="shared" si="4"/>
        <v>2422.5</v>
      </c>
      <c r="Q13" s="39">
        <f t="shared" si="0"/>
        <v>17.178000000000001</v>
      </c>
      <c r="R13" s="39">
        <f t="shared" si="1"/>
        <v>6.729166666666667</v>
      </c>
      <c r="S13" s="128">
        <f t="shared" si="5"/>
        <v>0.83449113432110755</v>
      </c>
      <c r="T13" s="92">
        <f t="shared" si="6"/>
        <v>6214.9</v>
      </c>
      <c r="U13" s="85"/>
      <c r="V13" s="178">
        <f t="shared" si="8"/>
        <v>6.2125000000000004</v>
      </c>
      <c r="W13" s="180">
        <f t="shared" si="7"/>
        <v>0.51666666666666672</v>
      </c>
      <c r="X13" s="80"/>
      <c r="Y13" s="80"/>
      <c r="Z13" s="87"/>
      <c r="AA13" s="87"/>
      <c r="AB13" s="87"/>
      <c r="AC13" s="87"/>
      <c r="AD13" s="87"/>
      <c r="AE13" s="87"/>
      <c r="AF13" s="87"/>
      <c r="AG13" s="87"/>
      <c r="AH13" s="87"/>
      <c r="AI13" s="87"/>
      <c r="AJ13" s="87"/>
      <c r="AK13" s="87"/>
      <c r="AL13" s="87"/>
      <c r="AM13" s="87"/>
      <c r="AN13" s="87"/>
      <c r="AO13" s="87"/>
      <c r="AP13" s="87"/>
      <c r="AQ13" s="87"/>
      <c r="AR13" s="87"/>
      <c r="AS13" s="87"/>
      <c r="AT13" s="87"/>
      <c r="AU13" s="87"/>
      <c r="AV13" s="87"/>
      <c r="AW13" s="87"/>
      <c r="AX13" s="87"/>
      <c r="AY13" s="87"/>
      <c r="AZ13" s="87"/>
      <c r="BA13" s="87"/>
      <c r="BB13" s="87"/>
      <c r="BC13" s="87"/>
      <c r="BD13" s="87"/>
      <c r="BE13" s="87"/>
      <c r="BF13" s="87"/>
      <c r="BG13" s="87"/>
      <c r="BH13" s="87"/>
      <c r="BI13" s="87"/>
      <c r="BJ13" s="87"/>
      <c r="BK13" s="87"/>
      <c r="BL13" s="87"/>
      <c r="BM13" s="87"/>
      <c r="BN13" s="87"/>
      <c r="BO13" s="87"/>
      <c r="BP13" s="87"/>
      <c r="BQ13" s="87"/>
      <c r="BR13" s="87"/>
      <c r="BS13" s="87"/>
      <c r="BT13" s="87"/>
      <c r="BU13" s="87"/>
      <c r="BV13" s="87"/>
      <c r="BW13" s="87"/>
    </row>
    <row r="14" spans="1:75" ht="18.75">
      <c r="A14" s="7" t="s">
        <v>74</v>
      </c>
      <c r="B14" s="89">
        <v>166</v>
      </c>
      <c r="C14" s="51">
        <v>741</v>
      </c>
      <c r="D14" s="51">
        <v>164.1</v>
      </c>
      <c r="E14" s="63">
        <v>397.1</v>
      </c>
      <c r="F14" s="63">
        <v>498.6</v>
      </c>
      <c r="G14" s="63">
        <v>50.5</v>
      </c>
      <c r="H14" s="64"/>
      <c r="I14" s="64"/>
      <c r="J14" s="108">
        <v>150</v>
      </c>
      <c r="K14" s="6">
        <f>663.5+51.4</f>
        <v>714.9</v>
      </c>
      <c r="L14" s="123">
        <f t="shared" si="2"/>
        <v>2716.2</v>
      </c>
      <c r="M14" s="42">
        <v>27.3</v>
      </c>
      <c r="N14" s="138">
        <f t="shared" si="3"/>
        <v>946.2</v>
      </c>
      <c r="O14" s="125">
        <v>84</v>
      </c>
      <c r="P14" s="109">
        <f t="shared" si="4"/>
        <v>1030.2</v>
      </c>
      <c r="Q14" s="39">
        <f t="shared" si="0"/>
        <v>16.363</v>
      </c>
      <c r="R14" s="39">
        <f t="shared" si="1"/>
        <v>6.2060240963855424</v>
      </c>
      <c r="S14" s="128">
        <f t="shared" si="5"/>
        <v>0.79489919844546997</v>
      </c>
      <c r="T14" s="92">
        <f t="shared" si="6"/>
        <v>2743.5</v>
      </c>
      <c r="U14" s="85"/>
      <c r="V14" s="178">
        <f t="shared" si="8"/>
        <v>5.7</v>
      </c>
      <c r="W14" s="180">
        <f t="shared" si="7"/>
        <v>0.50602409638554213</v>
      </c>
    </row>
    <row r="15" spans="1:75" s="107" customFormat="1" ht="18.75">
      <c r="A15" s="120">
        <v>85</v>
      </c>
      <c r="B15" s="106">
        <v>87</v>
      </c>
      <c r="C15" s="52">
        <v>741</v>
      </c>
      <c r="D15" s="52">
        <v>164.1</v>
      </c>
      <c r="E15" s="65">
        <v>275.10000000000002</v>
      </c>
      <c r="F15" s="65">
        <v>515.1</v>
      </c>
      <c r="G15" s="65">
        <v>41.5</v>
      </c>
      <c r="H15" s="66"/>
      <c r="I15" s="66"/>
      <c r="J15" s="96">
        <v>154</v>
      </c>
      <c r="K15" s="97">
        <f>667.2+51.6</f>
        <v>718.80000000000007</v>
      </c>
      <c r="L15" s="123">
        <f t="shared" si="2"/>
        <v>2609.6</v>
      </c>
      <c r="M15" s="42">
        <v>33.299999999999997</v>
      </c>
      <c r="N15" s="138">
        <f t="shared" si="3"/>
        <v>831.7</v>
      </c>
      <c r="O15" s="125">
        <v>95.2</v>
      </c>
      <c r="P15" s="109">
        <f t="shared" si="4"/>
        <v>926.90000000000009</v>
      </c>
      <c r="Q15" s="39">
        <f t="shared" si="0"/>
        <v>29.995000000000001</v>
      </c>
      <c r="R15" s="39">
        <f t="shared" si="1"/>
        <v>10.654022988505748</v>
      </c>
      <c r="S15" s="157">
        <f t="shared" si="5"/>
        <v>1.4571289774107359</v>
      </c>
      <c r="T15" s="92">
        <f t="shared" si="6"/>
        <v>2642.9</v>
      </c>
      <c r="U15" s="85"/>
      <c r="V15" s="178">
        <f t="shared" si="8"/>
        <v>9.5597701149425287</v>
      </c>
      <c r="W15" s="180">
        <f t="shared" si="7"/>
        <v>1.0942528735632184</v>
      </c>
      <c r="X15" s="80"/>
      <c r="Y15" s="80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  <c r="BU15" s="87"/>
      <c r="BV15" s="87"/>
      <c r="BW15" s="87"/>
    </row>
    <row r="16" spans="1:75" s="107" customFormat="1" ht="18.75">
      <c r="A16" s="120">
        <v>104</v>
      </c>
      <c r="B16" s="106">
        <v>270</v>
      </c>
      <c r="C16" s="52">
        <v>1022.4</v>
      </c>
      <c r="D16" s="52">
        <v>226.4</v>
      </c>
      <c r="E16" s="65">
        <v>445.3</v>
      </c>
      <c r="F16" s="65">
        <f>904.3+116.1</f>
        <v>1020.4</v>
      </c>
      <c r="G16" s="65">
        <v>126.9</v>
      </c>
      <c r="H16" s="66"/>
      <c r="I16" s="66"/>
      <c r="J16" s="96">
        <v>177</v>
      </c>
      <c r="K16" s="97">
        <f>1243.5+96.3</f>
        <v>1339.8</v>
      </c>
      <c r="L16" s="123">
        <f t="shared" si="2"/>
        <v>4358.2</v>
      </c>
      <c r="M16" s="42">
        <v>56.7</v>
      </c>
      <c r="N16" s="138">
        <f t="shared" si="3"/>
        <v>1592.6000000000001</v>
      </c>
      <c r="O16" s="125">
        <v>122</v>
      </c>
      <c r="P16" s="109">
        <f t="shared" si="4"/>
        <v>1714.6000000000001</v>
      </c>
      <c r="Q16" s="39">
        <f t="shared" si="0"/>
        <v>16.140999999999998</v>
      </c>
      <c r="R16" s="39">
        <f t="shared" si="1"/>
        <v>6.3503703703703707</v>
      </c>
      <c r="S16" s="128">
        <f t="shared" si="5"/>
        <v>0.78411464658732077</v>
      </c>
      <c r="T16" s="92">
        <f t="shared" si="6"/>
        <v>4414.8999999999996</v>
      </c>
      <c r="U16" s="85"/>
      <c r="V16" s="178">
        <f t="shared" si="8"/>
        <v>5.8985185185185189</v>
      </c>
      <c r="W16" s="180">
        <f t="shared" si="7"/>
        <v>0.45185185185185184</v>
      </c>
      <c r="X16" s="80"/>
      <c r="Y16" s="80"/>
      <c r="Z16" s="87"/>
      <c r="AA16" s="87"/>
      <c r="AB16" s="87"/>
      <c r="AC16" s="87"/>
      <c r="AD16" s="87"/>
      <c r="AE16" s="87"/>
      <c r="AF16" s="87"/>
      <c r="AG16" s="87"/>
      <c r="AH16" s="87"/>
      <c r="AI16" s="87"/>
      <c r="AJ16" s="87"/>
      <c r="AK16" s="87"/>
      <c r="AL16" s="87"/>
      <c r="AM16" s="87"/>
      <c r="AN16" s="87"/>
      <c r="AO16" s="87"/>
      <c r="AP16" s="87"/>
      <c r="AQ16" s="87"/>
      <c r="AR16" s="87"/>
      <c r="AS16" s="87"/>
      <c r="AT16" s="87"/>
      <c r="AU16" s="87"/>
      <c r="AV16" s="87"/>
      <c r="AW16" s="87"/>
      <c r="AX16" s="87"/>
      <c r="AY16" s="87"/>
      <c r="AZ16" s="87"/>
      <c r="BA16" s="87"/>
      <c r="BB16" s="87"/>
      <c r="BC16" s="87"/>
      <c r="BD16" s="87"/>
      <c r="BE16" s="87"/>
      <c r="BF16" s="87"/>
      <c r="BG16" s="87"/>
      <c r="BH16" s="87"/>
      <c r="BI16" s="87"/>
      <c r="BJ16" s="87"/>
      <c r="BK16" s="87"/>
      <c r="BL16" s="87"/>
      <c r="BM16" s="87"/>
      <c r="BN16" s="87"/>
      <c r="BO16" s="87"/>
      <c r="BP16" s="87"/>
      <c r="BQ16" s="87"/>
      <c r="BR16" s="87"/>
      <c r="BS16" s="87"/>
      <c r="BT16" s="87"/>
      <c r="BU16" s="87"/>
      <c r="BV16" s="87"/>
      <c r="BW16" s="87"/>
    </row>
    <row r="17" spans="1:75" s="107" customFormat="1" ht="18.75">
      <c r="A17" s="120">
        <v>106</v>
      </c>
      <c r="B17" s="106">
        <v>66</v>
      </c>
      <c r="C17" s="52">
        <v>694.1</v>
      </c>
      <c r="D17" s="52">
        <v>153.69999999999999</v>
      </c>
      <c r="E17" s="65">
        <v>219.4</v>
      </c>
      <c r="F17" s="65">
        <v>370.9</v>
      </c>
      <c r="G17" s="65">
        <v>38.1</v>
      </c>
      <c r="H17" s="66"/>
      <c r="I17" s="66"/>
      <c r="J17" s="96">
        <v>130</v>
      </c>
      <c r="K17" s="97">
        <f>354.5+27.5</f>
        <v>382</v>
      </c>
      <c r="L17" s="123">
        <f t="shared" si="2"/>
        <v>1988.2</v>
      </c>
      <c r="M17" s="42">
        <v>18.899999999999999</v>
      </c>
      <c r="N17" s="138">
        <f t="shared" si="3"/>
        <v>628.4</v>
      </c>
      <c r="O17" s="125">
        <v>107.8</v>
      </c>
      <c r="P17" s="109">
        <f t="shared" si="4"/>
        <v>736.19999999999993</v>
      </c>
      <c r="Q17" s="39">
        <f t="shared" si="0"/>
        <v>30.123999999999999</v>
      </c>
      <c r="R17" s="39">
        <f t="shared" si="1"/>
        <v>11.154545454545454</v>
      </c>
      <c r="S17" s="157">
        <f t="shared" si="5"/>
        <v>1.4633956764634442</v>
      </c>
      <c r="T17" s="92">
        <f t="shared" si="6"/>
        <v>2007.1000000000001</v>
      </c>
      <c r="U17" s="85"/>
      <c r="V17" s="178">
        <f t="shared" si="8"/>
        <v>9.5212121212121215</v>
      </c>
      <c r="W17" s="180">
        <f t="shared" si="7"/>
        <v>1.6333333333333333</v>
      </c>
      <c r="X17" s="80"/>
      <c r="Y17" s="80"/>
      <c r="Z17" s="87"/>
      <c r="AA17" s="87"/>
      <c r="AB17" s="87"/>
      <c r="AC17" s="87"/>
      <c r="AD17" s="87"/>
      <c r="AE17" s="87"/>
      <c r="AF17" s="87"/>
      <c r="AG17" s="87"/>
      <c r="AH17" s="87"/>
      <c r="AI17" s="87"/>
      <c r="AJ17" s="87"/>
      <c r="AK17" s="87"/>
      <c r="AL17" s="87"/>
      <c r="AM17" s="87"/>
      <c r="AN17" s="87"/>
      <c r="AO17" s="87"/>
      <c r="AP17" s="87"/>
      <c r="AQ17" s="87"/>
      <c r="AR17" s="87"/>
      <c r="AS17" s="87"/>
      <c r="AT17" s="87"/>
      <c r="AU17" s="87"/>
      <c r="AV17" s="87"/>
      <c r="AW17" s="87"/>
      <c r="AX17" s="87"/>
      <c r="AY17" s="87"/>
      <c r="AZ17" s="87"/>
      <c r="BA17" s="87"/>
      <c r="BB17" s="87"/>
      <c r="BC17" s="87"/>
      <c r="BD17" s="87"/>
      <c r="BE17" s="87"/>
      <c r="BF17" s="87"/>
      <c r="BG17" s="87"/>
      <c r="BH17" s="87"/>
      <c r="BI17" s="87"/>
      <c r="BJ17" s="87"/>
      <c r="BK17" s="87"/>
      <c r="BL17" s="87"/>
      <c r="BM17" s="87"/>
      <c r="BN17" s="87"/>
      <c r="BO17" s="87"/>
      <c r="BP17" s="87"/>
      <c r="BQ17" s="87"/>
      <c r="BR17" s="87"/>
      <c r="BS17" s="87"/>
      <c r="BT17" s="87"/>
      <c r="BU17" s="87"/>
      <c r="BV17" s="87"/>
      <c r="BW17" s="87"/>
    </row>
    <row r="18" spans="1:75" ht="18.75">
      <c r="A18" s="7" t="s">
        <v>75</v>
      </c>
      <c r="B18" s="89">
        <v>308</v>
      </c>
      <c r="C18" s="51">
        <v>1482.1</v>
      </c>
      <c r="D18" s="51">
        <v>328.2</v>
      </c>
      <c r="E18" s="63">
        <v>537.1</v>
      </c>
      <c r="F18" s="63">
        <v>1313.8</v>
      </c>
      <c r="G18" s="63">
        <v>120.4</v>
      </c>
      <c r="H18" s="64"/>
      <c r="I18" s="64"/>
      <c r="J18" s="108">
        <v>217</v>
      </c>
      <c r="K18" s="6">
        <f>1368.9+106</f>
        <v>1474.9</v>
      </c>
      <c r="L18" s="123">
        <f t="shared" si="2"/>
        <v>5473.5</v>
      </c>
      <c r="M18" s="42">
        <v>68.5</v>
      </c>
      <c r="N18" s="138">
        <f t="shared" si="3"/>
        <v>1971.3000000000002</v>
      </c>
      <c r="O18" s="125">
        <v>153.4</v>
      </c>
      <c r="P18" s="109">
        <f t="shared" si="4"/>
        <v>2124.7000000000003</v>
      </c>
      <c r="Q18" s="39">
        <f t="shared" si="0"/>
        <v>17.771000000000001</v>
      </c>
      <c r="R18" s="39">
        <f t="shared" si="1"/>
        <v>6.8983766233766239</v>
      </c>
      <c r="S18" s="128">
        <f t="shared" si="5"/>
        <v>0.86329851833859605</v>
      </c>
      <c r="T18" s="92">
        <f t="shared" si="6"/>
        <v>5542</v>
      </c>
      <c r="U18" s="85"/>
      <c r="V18" s="178">
        <f t="shared" si="8"/>
        <v>6.4003246753246756</v>
      </c>
      <c r="W18" s="180">
        <f t="shared" si="7"/>
        <v>0.49805194805194808</v>
      </c>
    </row>
    <row r="19" spans="1:75" ht="18.75">
      <c r="A19" s="7" t="s">
        <v>76</v>
      </c>
      <c r="B19" s="89">
        <v>176</v>
      </c>
      <c r="C19" s="51">
        <v>741</v>
      </c>
      <c r="D19" s="51">
        <v>164.1</v>
      </c>
      <c r="E19" s="63">
        <v>314.3</v>
      </c>
      <c r="F19" s="63">
        <v>665.7</v>
      </c>
      <c r="G19" s="63">
        <v>131.69999999999999</v>
      </c>
      <c r="H19" s="64"/>
      <c r="I19" s="64"/>
      <c r="J19" s="108">
        <v>154</v>
      </c>
      <c r="K19" s="6">
        <f>765.3+59.2</f>
        <v>824.5</v>
      </c>
      <c r="L19" s="123">
        <f t="shared" si="2"/>
        <v>2995.3</v>
      </c>
      <c r="M19" s="42">
        <v>23.5</v>
      </c>
      <c r="N19" s="138">
        <f t="shared" si="3"/>
        <v>1111.7</v>
      </c>
      <c r="O19" s="125">
        <v>101.7</v>
      </c>
      <c r="P19" s="109">
        <f t="shared" si="4"/>
        <v>1213.4000000000001</v>
      </c>
      <c r="Q19" s="39">
        <f t="shared" si="0"/>
        <v>17.018999999999998</v>
      </c>
      <c r="R19" s="39">
        <f t="shared" si="1"/>
        <v>6.894318181818182</v>
      </c>
      <c r="S19" s="128">
        <f t="shared" si="5"/>
        <v>0.82676706339567629</v>
      </c>
      <c r="T19" s="92">
        <f t="shared" si="6"/>
        <v>3018.8</v>
      </c>
      <c r="U19" s="85"/>
      <c r="V19" s="178">
        <f t="shared" si="8"/>
        <v>6.3164772727272727</v>
      </c>
      <c r="W19" s="180">
        <f t="shared" si="7"/>
        <v>0.57784090909090913</v>
      </c>
    </row>
    <row r="20" spans="1:75" s="107" customFormat="1" ht="18.75">
      <c r="A20" s="120">
        <v>123</v>
      </c>
      <c r="B20" s="106">
        <v>181</v>
      </c>
      <c r="C20" s="52">
        <v>787.9</v>
      </c>
      <c r="D20" s="52">
        <v>174.5</v>
      </c>
      <c r="E20" s="65">
        <v>399.5</v>
      </c>
      <c r="F20" s="65">
        <v>600.1</v>
      </c>
      <c r="G20" s="65">
        <v>68.900000000000006</v>
      </c>
      <c r="H20" s="66"/>
      <c r="I20" s="66"/>
      <c r="J20" s="96">
        <v>154</v>
      </c>
      <c r="K20" s="97">
        <f>736.3+57</f>
        <v>793.3</v>
      </c>
      <c r="L20" s="123">
        <f t="shared" si="2"/>
        <v>2978.2</v>
      </c>
      <c r="M20" s="42">
        <v>24.8</v>
      </c>
      <c r="N20" s="138">
        <f t="shared" si="3"/>
        <v>1068.5</v>
      </c>
      <c r="O20" s="125">
        <v>134.5</v>
      </c>
      <c r="P20" s="109">
        <f t="shared" si="4"/>
        <v>1203</v>
      </c>
      <c r="Q20" s="39">
        <f t="shared" si="0"/>
        <v>16.454000000000001</v>
      </c>
      <c r="R20" s="39">
        <f t="shared" si="1"/>
        <v>6.6464088397790055</v>
      </c>
      <c r="S20" s="128">
        <f t="shared" si="5"/>
        <v>0.79931989312606266</v>
      </c>
      <c r="T20" s="92">
        <f t="shared" si="6"/>
        <v>3003</v>
      </c>
      <c r="U20" s="85"/>
      <c r="V20" s="178">
        <f t="shared" si="8"/>
        <v>5.903314917127072</v>
      </c>
      <c r="W20" s="180">
        <f t="shared" si="7"/>
        <v>0.74309392265193375</v>
      </c>
      <c r="X20" s="80"/>
      <c r="Y20" s="80"/>
      <c r="Z20" s="87"/>
      <c r="AA20" s="87"/>
      <c r="AB20" s="87"/>
      <c r="AC20" s="87"/>
      <c r="AD20" s="87"/>
      <c r="AE20" s="87"/>
      <c r="AF20" s="87"/>
      <c r="AG20" s="87"/>
      <c r="AH20" s="87"/>
      <c r="AI20" s="87"/>
      <c r="AJ20" s="87"/>
      <c r="AK20" s="87"/>
      <c r="AL20" s="87"/>
      <c r="AM20" s="87"/>
      <c r="AN20" s="87"/>
      <c r="AO20" s="87"/>
      <c r="AP20" s="87"/>
      <c r="AQ20" s="87"/>
      <c r="AR20" s="87"/>
      <c r="AS20" s="87"/>
      <c r="AT20" s="87"/>
      <c r="AU20" s="87"/>
      <c r="AV20" s="87"/>
      <c r="AW20" s="87"/>
      <c r="AX20" s="87"/>
      <c r="AY20" s="87"/>
      <c r="AZ20" s="87"/>
      <c r="BA20" s="87"/>
      <c r="BB20" s="87"/>
      <c r="BC20" s="87"/>
      <c r="BD20" s="87"/>
      <c r="BE20" s="87"/>
      <c r="BF20" s="87"/>
      <c r="BG20" s="87"/>
      <c r="BH20" s="87"/>
      <c r="BI20" s="87"/>
      <c r="BJ20" s="87"/>
      <c r="BK20" s="87"/>
      <c r="BL20" s="87"/>
      <c r="BM20" s="87"/>
      <c r="BN20" s="87"/>
      <c r="BO20" s="87"/>
      <c r="BP20" s="87"/>
      <c r="BQ20" s="87"/>
      <c r="BR20" s="87"/>
      <c r="BS20" s="87"/>
      <c r="BT20" s="87"/>
      <c r="BU20" s="87"/>
      <c r="BV20" s="87"/>
      <c r="BW20" s="87"/>
    </row>
    <row r="21" spans="1:75" ht="18.75">
      <c r="A21" s="7" t="s">
        <v>77</v>
      </c>
      <c r="B21" s="89">
        <v>215</v>
      </c>
      <c r="C21" s="51">
        <v>787.9</v>
      </c>
      <c r="D21" s="51">
        <v>174.5</v>
      </c>
      <c r="E21" s="63">
        <v>311.10000000000002</v>
      </c>
      <c r="F21" s="63">
        <v>790.8</v>
      </c>
      <c r="G21" s="63">
        <v>49.1</v>
      </c>
      <c r="H21" s="64"/>
      <c r="I21" s="64"/>
      <c r="J21" s="108">
        <v>154</v>
      </c>
      <c r="K21" s="6">
        <f>885.3+68.5</f>
        <v>953.8</v>
      </c>
      <c r="L21" s="123">
        <f t="shared" si="2"/>
        <v>3221.2</v>
      </c>
      <c r="M21" s="42">
        <v>34.9</v>
      </c>
      <c r="N21" s="138">
        <f t="shared" si="3"/>
        <v>1151</v>
      </c>
      <c r="O21" s="125">
        <v>122.9</v>
      </c>
      <c r="P21" s="109">
        <f t="shared" si="4"/>
        <v>1273.9000000000001</v>
      </c>
      <c r="Q21" s="39">
        <f t="shared" si="0"/>
        <v>14.981999999999999</v>
      </c>
      <c r="R21" s="39">
        <f t="shared" si="1"/>
        <v>5.9251162790697682</v>
      </c>
      <c r="S21" s="128">
        <f t="shared" si="5"/>
        <v>0.72781151323779447</v>
      </c>
      <c r="T21" s="92">
        <f t="shared" si="6"/>
        <v>3256.1</v>
      </c>
      <c r="U21" s="85"/>
      <c r="V21" s="178">
        <f t="shared" si="8"/>
        <v>5.3534883720930235</v>
      </c>
      <c r="W21" s="180">
        <f t="shared" si="7"/>
        <v>0.57162790697674426</v>
      </c>
    </row>
    <row r="22" spans="1:75" ht="18.75">
      <c r="A22" s="7" t="s">
        <v>78</v>
      </c>
      <c r="B22" s="89">
        <v>177</v>
      </c>
      <c r="C22" s="51">
        <v>787.9</v>
      </c>
      <c r="D22" s="51">
        <v>174.5</v>
      </c>
      <c r="E22" s="63">
        <v>360.2</v>
      </c>
      <c r="F22" s="63">
        <v>657.9</v>
      </c>
      <c r="G22" s="63">
        <v>97.2</v>
      </c>
      <c r="H22" s="64"/>
      <c r="I22" s="64"/>
      <c r="J22" s="108">
        <v>154</v>
      </c>
      <c r="K22" s="6">
        <f>703.5+54.5</f>
        <v>758</v>
      </c>
      <c r="L22" s="123">
        <f t="shared" si="2"/>
        <v>2989.7</v>
      </c>
      <c r="M22" s="42">
        <v>30.7</v>
      </c>
      <c r="N22" s="138">
        <f t="shared" si="3"/>
        <v>1115.3</v>
      </c>
      <c r="O22" s="125">
        <v>99.1</v>
      </c>
      <c r="P22" s="109">
        <f t="shared" si="4"/>
        <v>1214.3999999999999</v>
      </c>
      <c r="Q22" s="39">
        <f t="shared" si="0"/>
        <v>16.890999999999998</v>
      </c>
      <c r="R22" s="39">
        <f t="shared" si="1"/>
        <v>6.8610169491525417</v>
      </c>
      <c r="S22" s="128">
        <f t="shared" si="5"/>
        <v>0.82054894340539219</v>
      </c>
      <c r="T22" s="92">
        <f t="shared" si="6"/>
        <v>3020.3999999999996</v>
      </c>
      <c r="U22" s="85"/>
      <c r="V22" s="178">
        <f t="shared" si="8"/>
        <v>6.3011299435028247</v>
      </c>
      <c r="W22" s="180">
        <f t="shared" si="7"/>
        <v>0.5598870056497175</v>
      </c>
    </row>
    <row r="23" spans="1:75" ht="18.75">
      <c r="A23" s="7" t="s">
        <v>79</v>
      </c>
      <c r="B23" s="89">
        <v>179</v>
      </c>
      <c r="C23" s="51">
        <v>741</v>
      </c>
      <c r="D23" s="51">
        <v>164.1</v>
      </c>
      <c r="E23" s="63">
        <v>394.6</v>
      </c>
      <c r="F23" s="63">
        <v>650.9</v>
      </c>
      <c r="G23" s="63">
        <v>80.099999999999994</v>
      </c>
      <c r="H23" s="64"/>
      <c r="I23" s="64"/>
      <c r="J23" s="108">
        <v>154</v>
      </c>
      <c r="K23" s="6">
        <f>839.9+65</f>
        <v>904.9</v>
      </c>
      <c r="L23" s="123">
        <f t="shared" si="2"/>
        <v>3089.6</v>
      </c>
      <c r="M23" s="42">
        <v>69</v>
      </c>
      <c r="N23" s="138">
        <f t="shared" si="3"/>
        <v>1125.5999999999999</v>
      </c>
      <c r="O23" s="125">
        <v>126.2</v>
      </c>
      <c r="P23" s="109">
        <f t="shared" si="4"/>
        <v>1251.8</v>
      </c>
      <c r="Q23" s="39">
        <f t="shared" si="0"/>
        <v>17.260000000000002</v>
      </c>
      <c r="R23" s="39">
        <f t="shared" si="1"/>
        <v>6.993296089385475</v>
      </c>
      <c r="S23" s="128">
        <f t="shared" si="5"/>
        <v>0.8384746174398835</v>
      </c>
      <c r="T23" s="92">
        <f t="shared" si="6"/>
        <v>3158.6</v>
      </c>
      <c r="U23" s="85"/>
      <c r="V23" s="178">
        <f t="shared" si="8"/>
        <v>6.2882681564245804</v>
      </c>
      <c r="W23" s="180">
        <f t="shared" si="7"/>
        <v>0.70502793296089383</v>
      </c>
    </row>
    <row r="24" spans="1:75" s="107" customFormat="1" ht="18.75">
      <c r="A24" s="120">
        <v>139</v>
      </c>
      <c r="B24" s="106">
        <v>92</v>
      </c>
      <c r="C24" s="52">
        <v>741</v>
      </c>
      <c r="D24" s="52">
        <v>164.1</v>
      </c>
      <c r="E24" s="65">
        <v>340.6</v>
      </c>
      <c r="F24" s="65">
        <v>519.70000000000005</v>
      </c>
      <c r="G24" s="65">
        <v>48</v>
      </c>
      <c r="H24" s="66"/>
      <c r="I24" s="66"/>
      <c r="J24" s="96">
        <v>154</v>
      </c>
      <c r="K24" s="97">
        <f>527.2+40.8</f>
        <v>568</v>
      </c>
      <c r="L24" s="123">
        <f t="shared" si="2"/>
        <v>2535.4</v>
      </c>
      <c r="M24" s="42">
        <v>31.3</v>
      </c>
      <c r="N24" s="138">
        <f t="shared" si="3"/>
        <v>908.30000000000007</v>
      </c>
      <c r="O24" s="125">
        <v>110.7</v>
      </c>
      <c r="P24" s="109">
        <f t="shared" si="4"/>
        <v>1019.0000000000001</v>
      </c>
      <c r="Q24" s="39">
        <f t="shared" si="0"/>
        <v>27.559000000000001</v>
      </c>
      <c r="R24" s="39">
        <f t="shared" si="1"/>
        <v>11.07608695652174</v>
      </c>
      <c r="S24" s="157">
        <f t="shared" si="5"/>
        <v>1.3387903813456401</v>
      </c>
      <c r="T24" s="92">
        <f t="shared" si="6"/>
        <v>2566.7000000000003</v>
      </c>
      <c r="U24" s="85"/>
      <c r="V24" s="178">
        <f t="shared" si="8"/>
        <v>9.8728260869565219</v>
      </c>
      <c r="W24" s="180">
        <f t="shared" si="7"/>
        <v>1.2032608695652174</v>
      </c>
      <c r="X24" s="80"/>
      <c r="Y24" s="80"/>
      <c r="Z24" s="87"/>
      <c r="AA24" s="87"/>
      <c r="AB24" s="87"/>
      <c r="AC24" s="87"/>
      <c r="AD24" s="87"/>
      <c r="AE24" s="87"/>
      <c r="AF24" s="87"/>
      <c r="AG24" s="87"/>
      <c r="AH24" s="87"/>
      <c r="AI24" s="87"/>
      <c r="AJ24" s="87"/>
      <c r="AK24" s="87"/>
      <c r="AL24" s="87"/>
      <c r="AM24" s="87"/>
      <c r="AN24" s="87"/>
      <c r="AO24" s="87"/>
      <c r="AP24" s="87"/>
      <c r="AQ24" s="87"/>
      <c r="AR24" s="87"/>
      <c r="AS24" s="87"/>
      <c r="AT24" s="87"/>
      <c r="AU24" s="87"/>
      <c r="AV24" s="87"/>
      <c r="AW24" s="87"/>
      <c r="AX24" s="87"/>
      <c r="AY24" s="87"/>
      <c r="AZ24" s="87"/>
      <c r="BA24" s="87"/>
      <c r="BB24" s="87"/>
      <c r="BC24" s="87"/>
      <c r="BD24" s="87"/>
      <c r="BE24" s="87"/>
      <c r="BF24" s="87"/>
      <c r="BG24" s="87"/>
      <c r="BH24" s="87"/>
      <c r="BI24" s="87"/>
      <c r="BJ24" s="87"/>
      <c r="BK24" s="87"/>
      <c r="BL24" s="87"/>
      <c r="BM24" s="87"/>
      <c r="BN24" s="87"/>
      <c r="BO24" s="87"/>
      <c r="BP24" s="87"/>
      <c r="BQ24" s="87"/>
      <c r="BR24" s="87"/>
      <c r="BS24" s="87"/>
      <c r="BT24" s="87"/>
      <c r="BU24" s="87"/>
      <c r="BV24" s="87"/>
      <c r="BW24" s="87"/>
    </row>
    <row r="25" spans="1:75" ht="18.75">
      <c r="A25" s="7" t="s">
        <v>80</v>
      </c>
      <c r="B25" s="89">
        <v>212</v>
      </c>
      <c r="C25" s="51">
        <v>881.7</v>
      </c>
      <c r="D25" s="51">
        <v>195.2</v>
      </c>
      <c r="E25" s="63">
        <v>585.70000000000005</v>
      </c>
      <c r="F25" s="63">
        <v>829.3</v>
      </c>
      <c r="G25" s="63">
        <v>93.6</v>
      </c>
      <c r="H25" s="64"/>
      <c r="I25" s="64"/>
      <c r="J25" s="108">
        <v>154</v>
      </c>
      <c r="K25" s="6">
        <f>816.2+63.2</f>
        <v>879.40000000000009</v>
      </c>
      <c r="L25" s="123">
        <f t="shared" si="2"/>
        <v>3618.9</v>
      </c>
      <c r="M25" s="42">
        <v>32.799999999999997</v>
      </c>
      <c r="N25" s="138">
        <f t="shared" si="3"/>
        <v>1508.6</v>
      </c>
      <c r="O25" s="125">
        <v>127.5</v>
      </c>
      <c r="P25" s="109">
        <f t="shared" si="4"/>
        <v>1636.1</v>
      </c>
      <c r="Q25" s="39">
        <f t="shared" si="0"/>
        <v>17.07</v>
      </c>
      <c r="R25" s="39">
        <f t="shared" si="1"/>
        <v>7.7174528301886784</v>
      </c>
      <c r="S25" s="128">
        <f t="shared" si="5"/>
        <v>0.8292445955793053</v>
      </c>
      <c r="T25" s="92">
        <f t="shared" si="6"/>
        <v>3651.7000000000003</v>
      </c>
      <c r="U25" s="85"/>
      <c r="V25" s="178">
        <f t="shared" si="8"/>
        <v>7.1160377358490559</v>
      </c>
      <c r="W25" s="180">
        <f t="shared" si="7"/>
        <v>0.60141509433962259</v>
      </c>
    </row>
    <row r="26" spans="1:75" ht="18.75">
      <c r="A26" s="7" t="s">
        <v>81</v>
      </c>
      <c r="B26" s="89">
        <v>179</v>
      </c>
      <c r="C26" s="51">
        <v>741</v>
      </c>
      <c r="D26" s="51">
        <v>164.1</v>
      </c>
      <c r="E26" s="63">
        <v>340.6</v>
      </c>
      <c r="F26" s="63">
        <v>741.9</v>
      </c>
      <c r="G26" s="63">
        <v>83.4</v>
      </c>
      <c r="H26" s="64"/>
      <c r="I26" s="64"/>
      <c r="J26" s="108">
        <v>154</v>
      </c>
      <c r="K26" s="6">
        <f>874.4+67.8</f>
        <v>942.19999999999993</v>
      </c>
      <c r="L26" s="123">
        <f t="shared" si="2"/>
        <v>3167.2</v>
      </c>
      <c r="M26" s="42">
        <v>40</v>
      </c>
      <c r="N26" s="138">
        <f t="shared" si="3"/>
        <v>1165.9000000000001</v>
      </c>
      <c r="O26" s="125">
        <v>107.1</v>
      </c>
      <c r="P26" s="109">
        <f t="shared" si="4"/>
        <v>1273</v>
      </c>
      <c r="Q26" s="39">
        <f t="shared" si="0"/>
        <v>17.693999999999999</v>
      </c>
      <c r="R26" s="39">
        <f t="shared" si="1"/>
        <v>7.1117318435754191</v>
      </c>
      <c r="S26" s="128">
        <f t="shared" si="5"/>
        <v>0.85955793053194063</v>
      </c>
      <c r="T26" s="92">
        <f t="shared" si="6"/>
        <v>3207.2</v>
      </c>
      <c r="U26" s="85"/>
      <c r="V26" s="178">
        <f t="shared" si="8"/>
        <v>6.5134078212290509</v>
      </c>
      <c r="W26" s="180">
        <f t="shared" si="7"/>
        <v>0.59832402234636872</v>
      </c>
    </row>
    <row r="27" spans="1:75" ht="18.75">
      <c r="A27" s="7" t="s">
        <v>82</v>
      </c>
      <c r="B27" s="89">
        <v>195</v>
      </c>
      <c r="C27" s="51">
        <v>787.9</v>
      </c>
      <c r="D27" s="51">
        <v>174.5</v>
      </c>
      <c r="E27" s="63">
        <v>281.60000000000002</v>
      </c>
      <c r="F27" s="63">
        <v>627.5</v>
      </c>
      <c r="G27" s="63">
        <v>80.400000000000006</v>
      </c>
      <c r="H27" s="64"/>
      <c r="I27" s="64"/>
      <c r="J27" s="108">
        <v>154</v>
      </c>
      <c r="K27" s="6">
        <f>834.4+64.7</f>
        <v>899.1</v>
      </c>
      <c r="L27" s="123">
        <f t="shared" si="2"/>
        <v>3005</v>
      </c>
      <c r="M27" s="42">
        <v>37.799999999999997</v>
      </c>
      <c r="N27" s="138">
        <f t="shared" si="3"/>
        <v>989.5</v>
      </c>
      <c r="O27" s="125">
        <v>118.5</v>
      </c>
      <c r="P27" s="109">
        <f t="shared" si="4"/>
        <v>1108</v>
      </c>
      <c r="Q27" s="39">
        <f t="shared" si="0"/>
        <v>15.41</v>
      </c>
      <c r="R27" s="39">
        <f t="shared" si="1"/>
        <v>5.6820512820512823</v>
      </c>
      <c r="S27" s="128">
        <f t="shared" si="5"/>
        <v>0.74860335195530725</v>
      </c>
      <c r="T27" s="92">
        <f t="shared" si="6"/>
        <v>3042.8</v>
      </c>
      <c r="U27" s="85"/>
      <c r="V27" s="178">
        <f t="shared" si="8"/>
        <v>5.0743589743589741</v>
      </c>
      <c r="W27" s="180">
        <f t="shared" si="7"/>
        <v>0.60769230769230764</v>
      </c>
    </row>
    <row r="28" spans="1:75" s="107" customFormat="1" ht="18.75">
      <c r="A28" s="120">
        <v>153</v>
      </c>
      <c r="B28" s="106">
        <v>177</v>
      </c>
      <c r="C28" s="52">
        <v>834.8</v>
      </c>
      <c r="D28" s="52">
        <v>184.8</v>
      </c>
      <c r="E28" s="65">
        <v>358.4</v>
      </c>
      <c r="F28" s="65">
        <v>581.6</v>
      </c>
      <c r="G28" s="65">
        <v>89</v>
      </c>
      <c r="H28" s="66"/>
      <c r="I28" s="66"/>
      <c r="J28" s="96">
        <v>154</v>
      </c>
      <c r="K28" s="97">
        <f>827.1+64</f>
        <v>891.1</v>
      </c>
      <c r="L28" s="123">
        <f t="shared" si="2"/>
        <v>3093.7</v>
      </c>
      <c r="M28" s="42">
        <v>38.200000000000003</v>
      </c>
      <c r="N28" s="138">
        <f t="shared" si="3"/>
        <v>1029</v>
      </c>
      <c r="O28" s="125">
        <v>93</v>
      </c>
      <c r="P28" s="109">
        <f t="shared" si="4"/>
        <v>1122</v>
      </c>
      <c r="Q28" s="39">
        <f t="shared" si="0"/>
        <v>17.478999999999999</v>
      </c>
      <c r="R28" s="39">
        <f t="shared" si="1"/>
        <v>6.3389830508474576</v>
      </c>
      <c r="S28" s="128">
        <f t="shared" si="5"/>
        <v>0.84911343211076018</v>
      </c>
      <c r="T28" s="92">
        <f t="shared" si="6"/>
        <v>3131.8999999999996</v>
      </c>
      <c r="U28" s="85"/>
      <c r="V28" s="178">
        <f t="shared" si="8"/>
        <v>5.8135593220338979</v>
      </c>
      <c r="W28" s="180">
        <f t="shared" si="7"/>
        <v>0.52542372881355937</v>
      </c>
      <c r="X28" s="80"/>
      <c r="Y28" s="80"/>
      <c r="Z28" s="87"/>
      <c r="AA28" s="87"/>
      <c r="AB28" s="87"/>
      <c r="AC28" s="87"/>
      <c r="AD28" s="87"/>
      <c r="AE28" s="87"/>
      <c r="AF28" s="87"/>
      <c r="AG28" s="87"/>
      <c r="AH28" s="87"/>
      <c r="AI28" s="87"/>
      <c r="AJ28" s="87"/>
      <c r="AK28" s="87"/>
      <c r="AL28" s="87"/>
      <c r="AM28" s="87"/>
      <c r="AN28" s="87"/>
      <c r="AO28" s="87"/>
      <c r="AP28" s="87"/>
      <c r="AQ28" s="87"/>
      <c r="AR28" s="87"/>
      <c r="AS28" s="87"/>
      <c r="AT28" s="87"/>
      <c r="AU28" s="87"/>
      <c r="AV28" s="87"/>
      <c r="AW28" s="87"/>
      <c r="AX28" s="87"/>
      <c r="AY28" s="87"/>
      <c r="AZ28" s="87"/>
      <c r="BA28" s="87"/>
      <c r="BB28" s="87"/>
      <c r="BC28" s="87"/>
      <c r="BD28" s="87"/>
      <c r="BE28" s="87"/>
      <c r="BF28" s="87"/>
      <c r="BG28" s="87"/>
      <c r="BH28" s="87"/>
      <c r="BI28" s="87"/>
      <c r="BJ28" s="87"/>
      <c r="BK28" s="87"/>
      <c r="BL28" s="87"/>
      <c r="BM28" s="87"/>
      <c r="BN28" s="87"/>
      <c r="BO28" s="87"/>
      <c r="BP28" s="87"/>
      <c r="BQ28" s="87"/>
      <c r="BR28" s="87"/>
      <c r="BS28" s="87"/>
      <c r="BT28" s="87"/>
      <c r="BU28" s="87"/>
      <c r="BV28" s="87"/>
      <c r="BW28" s="87"/>
    </row>
    <row r="29" spans="1:75" ht="18.75">
      <c r="A29" s="7" t="s">
        <v>83</v>
      </c>
      <c r="B29" s="89">
        <v>195</v>
      </c>
      <c r="C29" s="51">
        <v>811.4</v>
      </c>
      <c r="D29" s="51">
        <v>179.7</v>
      </c>
      <c r="E29" s="63">
        <v>375</v>
      </c>
      <c r="F29" s="63">
        <v>598.4</v>
      </c>
      <c r="G29" s="63">
        <v>71.8</v>
      </c>
      <c r="H29" s="64"/>
      <c r="I29" s="64"/>
      <c r="J29" s="108">
        <v>154</v>
      </c>
      <c r="K29" s="6">
        <f>776.3+60.1</f>
        <v>836.4</v>
      </c>
      <c r="L29" s="123">
        <f t="shared" si="2"/>
        <v>3026.7</v>
      </c>
      <c r="M29" s="42">
        <v>38.4</v>
      </c>
      <c r="N29" s="138">
        <f t="shared" si="3"/>
        <v>1045.2</v>
      </c>
      <c r="O29" s="125">
        <v>129.69999999999999</v>
      </c>
      <c r="P29" s="109">
        <f t="shared" si="4"/>
        <v>1174.9000000000001</v>
      </c>
      <c r="Q29" s="39">
        <f t="shared" si="0"/>
        <v>15.522</v>
      </c>
      <c r="R29" s="39">
        <f t="shared" si="1"/>
        <v>6.0251282051282056</v>
      </c>
      <c r="S29" s="128">
        <f t="shared" si="5"/>
        <v>0.75404420694680596</v>
      </c>
      <c r="T29" s="92">
        <f t="shared" si="6"/>
        <v>3065.1</v>
      </c>
      <c r="U29" s="85"/>
      <c r="V29" s="178">
        <f t="shared" si="8"/>
        <v>5.36</v>
      </c>
      <c r="W29" s="180">
        <f t="shared" si="7"/>
        <v>0.66512820512820503</v>
      </c>
    </row>
    <row r="30" spans="1:75" ht="18.75">
      <c r="A30" s="7" t="s">
        <v>84</v>
      </c>
      <c r="B30" s="89">
        <v>179</v>
      </c>
      <c r="C30" s="51">
        <v>741</v>
      </c>
      <c r="D30" s="51">
        <v>164.1</v>
      </c>
      <c r="E30" s="63">
        <v>360.2</v>
      </c>
      <c r="F30" s="63">
        <f>716.3+94.8</f>
        <v>811.09999999999991</v>
      </c>
      <c r="G30" s="63">
        <v>90</v>
      </c>
      <c r="H30" s="64"/>
      <c r="I30" s="64"/>
      <c r="J30" s="108">
        <v>154</v>
      </c>
      <c r="K30" s="6">
        <f>836.3+64.7</f>
        <v>901</v>
      </c>
      <c r="L30" s="123">
        <f t="shared" si="2"/>
        <v>3221.4</v>
      </c>
      <c r="M30" s="42">
        <v>41.6</v>
      </c>
      <c r="N30" s="138">
        <f t="shared" si="3"/>
        <v>1261.3</v>
      </c>
      <c r="O30" s="125">
        <v>113.7</v>
      </c>
      <c r="P30" s="109">
        <f t="shared" si="4"/>
        <v>1375</v>
      </c>
      <c r="Q30" s="39">
        <f t="shared" si="0"/>
        <v>17.997</v>
      </c>
      <c r="R30" s="39">
        <f t="shared" si="1"/>
        <v>7.6815642458100557</v>
      </c>
      <c r="S30" s="128">
        <f t="shared" si="5"/>
        <v>0.8742773864464416</v>
      </c>
      <c r="T30" s="92">
        <f t="shared" si="6"/>
        <v>3263</v>
      </c>
      <c r="U30" s="85"/>
      <c r="V30" s="178">
        <f t="shared" si="8"/>
        <v>7.0463687150837986</v>
      </c>
      <c r="W30" s="180">
        <f t="shared" si="7"/>
        <v>0.63519553072625701</v>
      </c>
    </row>
    <row r="31" spans="1:75" s="107" customFormat="1" ht="18.75">
      <c r="A31" s="120">
        <v>167</v>
      </c>
      <c r="B31" s="106">
        <v>179</v>
      </c>
      <c r="C31" s="52">
        <v>811.4</v>
      </c>
      <c r="D31" s="52">
        <v>179.7</v>
      </c>
      <c r="E31" s="65">
        <v>385.4</v>
      </c>
      <c r="F31" s="65">
        <f>641+82.7</f>
        <v>723.7</v>
      </c>
      <c r="G31" s="65">
        <v>79.7</v>
      </c>
      <c r="H31" s="66"/>
      <c r="I31" s="66"/>
      <c r="J31" s="96">
        <v>154</v>
      </c>
      <c r="K31" s="97">
        <f>732.6+56.7</f>
        <v>789.30000000000007</v>
      </c>
      <c r="L31" s="123">
        <f t="shared" si="2"/>
        <v>3123.2</v>
      </c>
      <c r="M31" s="42">
        <v>35.9</v>
      </c>
      <c r="N31" s="138">
        <f t="shared" si="3"/>
        <v>1188.8</v>
      </c>
      <c r="O31" s="125">
        <v>127.4</v>
      </c>
      <c r="P31" s="109">
        <f t="shared" si="4"/>
        <v>1316.2</v>
      </c>
      <c r="Q31" s="39">
        <f t="shared" si="0"/>
        <v>17.448</v>
      </c>
      <c r="R31" s="39">
        <f t="shared" si="1"/>
        <v>7.3530726256983243</v>
      </c>
      <c r="S31" s="128">
        <f t="shared" si="5"/>
        <v>0.84760748117561324</v>
      </c>
      <c r="T31" s="92">
        <f t="shared" si="6"/>
        <v>3159.1</v>
      </c>
      <c r="U31" s="85"/>
      <c r="V31" s="178">
        <f t="shared" si="8"/>
        <v>6.6413407821229047</v>
      </c>
      <c r="W31" s="180">
        <f t="shared" si="7"/>
        <v>0.71173184357541908</v>
      </c>
      <c r="X31" s="80"/>
      <c r="Y31" s="80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  <c r="BU31" s="87"/>
      <c r="BV31" s="87"/>
      <c r="BW31" s="87"/>
    </row>
    <row r="32" spans="1:75" ht="18.75">
      <c r="A32" s="7" t="s">
        <v>85</v>
      </c>
      <c r="B32" s="89">
        <v>230</v>
      </c>
      <c r="C32" s="51">
        <v>811.4</v>
      </c>
      <c r="D32" s="51">
        <v>179.7</v>
      </c>
      <c r="E32" s="63">
        <v>353.6</v>
      </c>
      <c r="F32" s="63">
        <f>593.2+71.5</f>
        <v>664.7</v>
      </c>
      <c r="G32" s="63">
        <v>130.69999999999999</v>
      </c>
      <c r="H32" s="64"/>
      <c r="I32" s="64"/>
      <c r="J32" s="108">
        <v>154</v>
      </c>
      <c r="K32" s="6">
        <f>1034.4+80.1</f>
        <v>1114.5</v>
      </c>
      <c r="L32" s="123">
        <f t="shared" si="2"/>
        <v>3408.6</v>
      </c>
      <c r="M32" s="42">
        <v>92.5</v>
      </c>
      <c r="N32" s="138">
        <f t="shared" si="3"/>
        <v>1149</v>
      </c>
      <c r="O32" s="125">
        <v>125.5</v>
      </c>
      <c r="P32" s="109">
        <f t="shared" si="4"/>
        <v>1274.5</v>
      </c>
      <c r="Q32" s="39">
        <f t="shared" si="0"/>
        <v>14.82</v>
      </c>
      <c r="R32" s="39">
        <f t="shared" si="1"/>
        <v>5.5413043478260873</v>
      </c>
      <c r="S32" s="128">
        <f t="shared" si="5"/>
        <v>0.71994170512509104</v>
      </c>
      <c r="T32" s="92">
        <f t="shared" si="6"/>
        <v>3501.1</v>
      </c>
      <c r="U32" s="85"/>
      <c r="V32" s="178">
        <f t="shared" si="8"/>
        <v>4.9956521739130437</v>
      </c>
      <c r="W32" s="180">
        <f t="shared" si="7"/>
        <v>0.54565217391304344</v>
      </c>
    </row>
    <row r="33" spans="1:75" ht="18.75">
      <c r="A33" s="7" t="s">
        <v>86</v>
      </c>
      <c r="B33" s="89">
        <v>211</v>
      </c>
      <c r="C33" s="51">
        <v>881.7</v>
      </c>
      <c r="D33" s="51">
        <v>195.2</v>
      </c>
      <c r="E33" s="63">
        <v>412.6</v>
      </c>
      <c r="F33" s="63">
        <f>632+79.8</f>
        <v>711.8</v>
      </c>
      <c r="G33" s="63">
        <v>90.1</v>
      </c>
      <c r="H33" s="64"/>
      <c r="I33" s="64"/>
      <c r="J33" s="108">
        <v>154</v>
      </c>
      <c r="K33" s="6">
        <f>988.9+76.6</f>
        <v>1065.5</v>
      </c>
      <c r="L33" s="123">
        <f t="shared" si="2"/>
        <v>3510.9</v>
      </c>
      <c r="M33" s="42">
        <v>39.1</v>
      </c>
      <c r="N33" s="138">
        <f t="shared" si="3"/>
        <v>1214.5</v>
      </c>
      <c r="O33" s="125">
        <v>115.5</v>
      </c>
      <c r="P33" s="109">
        <f t="shared" si="4"/>
        <v>1330</v>
      </c>
      <c r="Q33" s="39">
        <f t="shared" si="0"/>
        <v>16.638999999999999</v>
      </c>
      <c r="R33" s="39">
        <f t="shared" si="1"/>
        <v>6.3033175355450233</v>
      </c>
      <c r="S33" s="128">
        <f t="shared" si="5"/>
        <v>0.80830701967452023</v>
      </c>
      <c r="T33" s="92">
        <f t="shared" si="6"/>
        <v>3550</v>
      </c>
      <c r="U33" s="85"/>
      <c r="V33" s="178">
        <f t="shared" si="8"/>
        <v>5.7559241706161135</v>
      </c>
      <c r="W33" s="180">
        <f t="shared" si="7"/>
        <v>0.54739336492891</v>
      </c>
    </row>
    <row r="34" spans="1:75" ht="18.75">
      <c r="A34" s="7" t="s">
        <v>87</v>
      </c>
      <c r="B34" s="89">
        <v>169</v>
      </c>
      <c r="C34" s="51">
        <v>741</v>
      </c>
      <c r="D34" s="51">
        <v>164.1</v>
      </c>
      <c r="E34" s="63">
        <v>360.2</v>
      </c>
      <c r="F34" s="63">
        <f>641.8+82.8</f>
        <v>724.59999999999991</v>
      </c>
      <c r="G34" s="63">
        <v>146.9</v>
      </c>
      <c r="H34" s="64"/>
      <c r="I34" s="64"/>
      <c r="J34" s="108">
        <v>154</v>
      </c>
      <c r="K34" s="6">
        <f>690.9+53.5</f>
        <v>744.4</v>
      </c>
      <c r="L34" s="123">
        <f t="shared" si="2"/>
        <v>3035.2</v>
      </c>
      <c r="M34" s="42">
        <v>0</v>
      </c>
      <c r="N34" s="138">
        <f t="shared" si="3"/>
        <v>1231.7</v>
      </c>
      <c r="O34" s="125">
        <v>108.4</v>
      </c>
      <c r="P34" s="109">
        <f t="shared" si="4"/>
        <v>1340.1000000000001</v>
      </c>
      <c r="Q34" s="39">
        <f t="shared" si="0"/>
        <v>17.96</v>
      </c>
      <c r="R34" s="39">
        <f t="shared" si="1"/>
        <v>7.9295857988165688</v>
      </c>
      <c r="S34" s="128">
        <f t="shared" si="5"/>
        <v>0.87247996113675008</v>
      </c>
      <c r="T34" s="92">
        <f t="shared" si="6"/>
        <v>3035.2</v>
      </c>
      <c r="U34" s="85"/>
      <c r="V34" s="178">
        <f t="shared" si="8"/>
        <v>7.288165680473373</v>
      </c>
      <c r="W34" s="180">
        <f t="shared" si="7"/>
        <v>0.64142011834319534</v>
      </c>
    </row>
    <row r="35" spans="1:75" ht="18.75">
      <c r="A35" s="7" t="s">
        <v>88</v>
      </c>
      <c r="B35" s="89">
        <v>198</v>
      </c>
      <c r="C35" s="51">
        <v>811.4</v>
      </c>
      <c r="D35" s="51">
        <v>179.7</v>
      </c>
      <c r="E35" s="63">
        <v>386.4</v>
      </c>
      <c r="F35" s="63">
        <f>709.2+92.8</f>
        <v>802</v>
      </c>
      <c r="G35" s="63">
        <v>110.8</v>
      </c>
      <c r="H35" s="64"/>
      <c r="I35" s="64"/>
      <c r="J35" s="108">
        <v>154</v>
      </c>
      <c r="K35" s="6">
        <f>887.1+68.7</f>
        <v>955.80000000000007</v>
      </c>
      <c r="L35" s="123">
        <f t="shared" si="2"/>
        <v>3400.1</v>
      </c>
      <c r="M35" s="42">
        <v>39.4</v>
      </c>
      <c r="N35" s="138">
        <f t="shared" si="3"/>
        <v>1299.2</v>
      </c>
      <c r="O35" s="125">
        <v>111.6</v>
      </c>
      <c r="P35" s="109">
        <f t="shared" si="4"/>
        <v>1410.8</v>
      </c>
      <c r="Q35" s="39">
        <f t="shared" ref="Q35:Q66" si="9">ROUND(L35/B35,3)</f>
        <v>17.172000000000001</v>
      </c>
      <c r="R35" s="39">
        <f t="shared" si="1"/>
        <v>7.1252525252525247</v>
      </c>
      <c r="S35" s="128">
        <f t="shared" si="5"/>
        <v>0.83419965994656298</v>
      </c>
      <c r="T35" s="92">
        <f t="shared" si="6"/>
        <v>3439.5</v>
      </c>
      <c r="U35" s="85"/>
      <c r="V35" s="178">
        <f t="shared" si="8"/>
        <v>6.5616161616161621</v>
      </c>
      <c r="W35" s="180">
        <f t="shared" si="7"/>
        <v>0.5636363636363636</v>
      </c>
    </row>
    <row r="36" spans="1:75" s="107" customFormat="1" ht="18.75">
      <c r="A36" s="120">
        <v>185</v>
      </c>
      <c r="B36" s="106">
        <v>156</v>
      </c>
      <c r="C36" s="52">
        <v>741</v>
      </c>
      <c r="D36" s="52">
        <v>164.1</v>
      </c>
      <c r="E36" s="65">
        <v>243.6</v>
      </c>
      <c r="F36" s="65">
        <v>668.4</v>
      </c>
      <c r="G36" s="65">
        <v>75.3</v>
      </c>
      <c r="H36" s="66"/>
      <c r="I36" s="66"/>
      <c r="J36" s="96">
        <v>154</v>
      </c>
      <c r="K36" s="97">
        <f>2370.6+183.5</f>
        <v>2554.1</v>
      </c>
      <c r="L36" s="123">
        <f t="shared" si="2"/>
        <v>4600.5</v>
      </c>
      <c r="M36" s="42">
        <v>33.9</v>
      </c>
      <c r="N36" s="138">
        <f t="shared" si="3"/>
        <v>987.3</v>
      </c>
      <c r="O36" s="125">
        <v>121.5</v>
      </c>
      <c r="P36" s="109">
        <f t="shared" si="4"/>
        <v>1108.8</v>
      </c>
      <c r="Q36" s="39">
        <f t="shared" si="9"/>
        <v>29.49</v>
      </c>
      <c r="R36" s="39">
        <f t="shared" si="1"/>
        <v>7.1076923076923073</v>
      </c>
      <c r="S36" s="157">
        <f t="shared" si="5"/>
        <v>1.4325965508865677</v>
      </c>
      <c r="T36" s="92">
        <f t="shared" si="6"/>
        <v>4634.3999999999996</v>
      </c>
      <c r="U36" s="85"/>
      <c r="V36" s="178">
        <f t="shared" si="8"/>
        <v>6.3288461538461531</v>
      </c>
      <c r="W36" s="180">
        <f t="shared" si="7"/>
        <v>0.77884615384615385</v>
      </c>
      <c r="X36" s="80"/>
      <c r="Y36" s="80"/>
      <c r="Z36" s="87"/>
      <c r="AA36" s="87"/>
      <c r="AB36" s="87"/>
      <c r="AC36" s="87"/>
      <c r="AD36" s="87"/>
      <c r="AE36" s="87"/>
      <c r="AF36" s="87"/>
      <c r="AG36" s="87"/>
      <c r="AH36" s="87"/>
      <c r="AI36" s="87"/>
      <c r="AJ36" s="87"/>
      <c r="AK36" s="87"/>
      <c r="AL36" s="87"/>
      <c r="AM36" s="87"/>
      <c r="AN36" s="87"/>
      <c r="AO36" s="87"/>
      <c r="AP36" s="87"/>
      <c r="AQ36" s="87"/>
      <c r="AR36" s="87"/>
      <c r="AS36" s="87"/>
      <c r="AT36" s="87"/>
      <c r="AU36" s="87"/>
      <c r="AV36" s="87"/>
      <c r="AW36" s="87"/>
      <c r="AX36" s="87"/>
      <c r="AY36" s="87"/>
      <c r="AZ36" s="87"/>
      <c r="BA36" s="87"/>
      <c r="BB36" s="87"/>
      <c r="BC36" s="87"/>
      <c r="BD36" s="87"/>
      <c r="BE36" s="87"/>
      <c r="BF36" s="87"/>
      <c r="BG36" s="87"/>
      <c r="BH36" s="87"/>
      <c r="BI36" s="87"/>
      <c r="BJ36" s="87"/>
      <c r="BK36" s="87"/>
      <c r="BL36" s="87"/>
      <c r="BM36" s="87"/>
      <c r="BN36" s="87"/>
      <c r="BO36" s="87"/>
      <c r="BP36" s="87"/>
      <c r="BQ36" s="87"/>
      <c r="BR36" s="87"/>
      <c r="BS36" s="87"/>
      <c r="BT36" s="87"/>
      <c r="BU36" s="87"/>
      <c r="BV36" s="87"/>
      <c r="BW36" s="87"/>
    </row>
    <row r="37" spans="1:75" ht="18.75">
      <c r="A37" s="7" t="s">
        <v>89</v>
      </c>
      <c r="B37" s="89">
        <v>196</v>
      </c>
      <c r="C37" s="51">
        <v>952.1</v>
      </c>
      <c r="D37" s="51">
        <v>210.8</v>
      </c>
      <c r="E37" s="63">
        <v>587</v>
      </c>
      <c r="F37" s="63">
        <v>1037.3</v>
      </c>
      <c r="G37" s="63">
        <v>111.6</v>
      </c>
      <c r="H37" s="64"/>
      <c r="I37" s="64"/>
      <c r="J37" s="108">
        <v>229</v>
      </c>
      <c r="K37" s="6">
        <f>919.9+71.3</f>
        <v>991.19999999999993</v>
      </c>
      <c r="L37" s="123">
        <f t="shared" si="2"/>
        <v>4119</v>
      </c>
      <c r="M37" s="42">
        <v>26.4</v>
      </c>
      <c r="N37" s="138">
        <f t="shared" si="3"/>
        <v>1735.8999999999999</v>
      </c>
      <c r="O37" s="125">
        <v>94</v>
      </c>
      <c r="P37" s="109">
        <f t="shared" si="4"/>
        <v>1829.8999999999999</v>
      </c>
      <c r="Q37" s="39">
        <f>ROUND(L37/B37,3)</f>
        <v>21.015000000000001</v>
      </c>
      <c r="R37" s="39">
        <f t="shared" si="1"/>
        <v>9.3362244897959172</v>
      </c>
      <c r="S37" s="157">
        <f>Q37/20.585</f>
        <v>1.0208889968423609</v>
      </c>
      <c r="T37" s="154">
        <f t="shared" si="6"/>
        <v>4145.3999999999996</v>
      </c>
      <c r="U37" s="85"/>
      <c r="V37" s="178">
        <f t="shared" si="8"/>
        <v>8.856632653061224</v>
      </c>
      <c r="W37" s="180">
        <f t="shared" si="7"/>
        <v>0.47959183673469385</v>
      </c>
    </row>
    <row r="38" spans="1:75" s="107" customFormat="1" ht="18.75">
      <c r="A38" s="120">
        <v>214</v>
      </c>
      <c r="B38" s="106">
        <v>359</v>
      </c>
      <c r="C38" s="52">
        <v>1116.2</v>
      </c>
      <c r="D38" s="52">
        <v>247.1</v>
      </c>
      <c r="E38" s="65">
        <v>499.3</v>
      </c>
      <c r="F38" s="65">
        <f>1280.8+166.5</f>
        <v>1447.3</v>
      </c>
      <c r="G38" s="65">
        <v>148.5</v>
      </c>
      <c r="H38" s="66"/>
      <c r="I38" s="66"/>
      <c r="J38" s="96">
        <v>199</v>
      </c>
      <c r="K38" s="97">
        <f>1734.3+134.2</f>
        <v>1868.5</v>
      </c>
      <c r="L38" s="123">
        <f t="shared" si="2"/>
        <v>5525.9</v>
      </c>
      <c r="M38" s="42">
        <v>65.7</v>
      </c>
      <c r="N38" s="138">
        <f t="shared" si="3"/>
        <v>2095.1</v>
      </c>
      <c r="O38" s="125">
        <v>150.69999999999999</v>
      </c>
      <c r="P38" s="109">
        <f t="shared" si="4"/>
        <v>2245.7999999999997</v>
      </c>
      <c r="Q38" s="39">
        <f t="shared" si="9"/>
        <v>15.391999999999999</v>
      </c>
      <c r="R38" s="39">
        <f t="shared" si="1"/>
        <v>6.2557103064066846</v>
      </c>
      <c r="S38" s="128">
        <f t="shared" si="5"/>
        <v>0.74772892883167352</v>
      </c>
      <c r="T38" s="92">
        <f t="shared" si="6"/>
        <v>5591.5999999999995</v>
      </c>
      <c r="U38" s="85"/>
      <c r="V38" s="178">
        <f t="shared" si="8"/>
        <v>5.8359331476323115</v>
      </c>
      <c r="W38" s="180">
        <f t="shared" si="7"/>
        <v>0.41977715877437322</v>
      </c>
      <c r="X38" s="80"/>
      <c r="Y38" s="80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  <c r="BU38" s="87"/>
      <c r="BV38" s="87"/>
      <c r="BW38" s="87"/>
    </row>
    <row r="39" spans="1:75" ht="18.75">
      <c r="A39" s="121" t="s">
        <v>90</v>
      </c>
      <c r="B39" s="89">
        <v>217</v>
      </c>
      <c r="C39" s="51">
        <v>881.7</v>
      </c>
      <c r="D39" s="51">
        <v>195.2</v>
      </c>
      <c r="E39" s="63">
        <v>478.1</v>
      </c>
      <c r="F39" s="63">
        <f>734.3+94.3</f>
        <v>828.59999999999991</v>
      </c>
      <c r="G39" s="63">
        <v>111</v>
      </c>
      <c r="H39" s="64"/>
      <c r="I39" s="64"/>
      <c r="J39" s="108">
        <v>154</v>
      </c>
      <c r="K39" s="6">
        <f>923.5+71.5</f>
        <v>995</v>
      </c>
      <c r="L39" s="123">
        <f t="shared" si="2"/>
        <v>3643.6</v>
      </c>
      <c r="M39" s="42">
        <v>33.799999999999997</v>
      </c>
      <c r="N39" s="138">
        <f t="shared" si="3"/>
        <v>1417.6999999999998</v>
      </c>
      <c r="O39" s="125">
        <v>66.7</v>
      </c>
      <c r="P39" s="109">
        <f t="shared" si="4"/>
        <v>1484.3999999999999</v>
      </c>
      <c r="Q39" s="39">
        <f t="shared" si="9"/>
        <v>16.791</v>
      </c>
      <c r="R39" s="39">
        <f t="shared" si="1"/>
        <v>6.8405529953917048</v>
      </c>
      <c r="S39" s="128">
        <f t="shared" si="5"/>
        <v>0.81569103716298275</v>
      </c>
      <c r="T39" s="92">
        <f t="shared" si="6"/>
        <v>3677.4</v>
      </c>
      <c r="U39" s="85"/>
      <c r="V39" s="178">
        <f t="shared" si="8"/>
        <v>6.533179723502303</v>
      </c>
      <c r="W39" s="180">
        <f t="shared" si="7"/>
        <v>0.30737327188940095</v>
      </c>
    </row>
    <row r="40" spans="1:75" ht="18.75">
      <c r="A40" s="7" t="s">
        <v>91</v>
      </c>
      <c r="B40" s="89">
        <v>199</v>
      </c>
      <c r="C40" s="51">
        <v>811.4</v>
      </c>
      <c r="D40" s="51">
        <v>179.7</v>
      </c>
      <c r="E40" s="65">
        <v>320</v>
      </c>
      <c r="F40" s="65">
        <v>792.6</v>
      </c>
      <c r="G40" s="65">
        <v>85.3</v>
      </c>
      <c r="H40" s="64"/>
      <c r="I40" s="64"/>
      <c r="J40" s="108">
        <v>154</v>
      </c>
      <c r="K40" s="6">
        <f>852.5+66.1</f>
        <v>918.6</v>
      </c>
      <c r="L40" s="123">
        <f t="shared" si="2"/>
        <v>3261.6</v>
      </c>
      <c r="M40" s="42">
        <v>27.5</v>
      </c>
      <c r="N40" s="138">
        <f t="shared" si="3"/>
        <v>1197.8999999999999</v>
      </c>
      <c r="O40" s="125">
        <v>117.9</v>
      </c>
      <c r="P40" s="109">
        <f t="shared" si="4"/>
        <v>1315.8</v>
      </c>
      <c r="Q40" s="39">
        <f t="shared" si="9"/>
        <v>16.39</v>
      </c>
      <c r="R40" s="39">
        <f t="shared" si="1"/>
        <v>6.6120603015075377</v>
      </c>
      <c r="S40" s="128">
        <f t="shared" si="5"/>
        <v>0.79621083313092056</v>
      </c>
      <c r="T40" s="92">
        <f t="shared" si="6"/>
        <v>3289.1</v>
      </c>
      <c r="U40" s="85"/>
      <c r="V40" s="178">
        <f t="shared" si="8"/>
        <v>6.019597989949748</v>
      </c>
      <c r="W40" s="180">
        <f t="shared" si="7"/>
        <v>0.59246231155778895</v>
      </c>
    </row>
    <row r="41" spans="1:75" s="107" customFormat="1" ht="18.75">
      <c r="A41" s="120">
        <v>226</v>
      </c>
      <c r="B41" s="106">
        <v>458</v>
      </c>
      <c r="C41" s="52">
        <v>1397.6</v>
      </c>
      <c r="D41" s="52">
        <v>309.39999999999998</v>
      </c>
      <c r="E41" s="63">
        <v>776.5</v>
      </c>
      <c r="F41" s="63">
        <f>995.5+128.9</f>
        <v>1124.4000000000001</v>
      </c>
      <c r="G41" s="63">
        <v>138.1</v>
      </c>
      <c r="H41" s="66"/>
      <c r="I41" s="66"/>
      <c r="J41" s="96">
        <v>274</v>
      </c>
      <c r="K41" s="97">
        <f>2165.1+167.6</f>
        <v>2332.6999999999998</v>
      </c>
      <c r="L41" s="123">
        <f t="shared" si="2"/>
        <v>6352.7</v>
      </c>
      <c r="M41" s="42">
        <v>60.5</v>
      </c>
      <c r="N41" s="138">
        <f t="shared" si="3"/>
        <v>2039</v>
      </c>
      <c r="O41" s="125">
        <v>194.9</v>
      </c>
      <c r="P41" s="109">
        <f t="shared" si="4"/>
        <v>2233.9</v>
      </c>
      <c r="Q41" s="39">
        <f t="shared" si="9"/>
        <v>13.871</v>
      </c>
      <c r="R41" s="39">
        <f t="shared" si="1"/>
        <v>4.8775109170305679</v>
      </c>
      <c r="S41" s="128">
        <f t="shared" si="5"/>
        <v>0.67384017488462467</v>
      </c>
      <c r="T41" s="154">
        <f t="shared" si="6"/>
        <v>6413.2</v>
      </c>
      <c r="U41" s="85"/>
      <c r="V41" s="178">
        <f t="shared" si="8"/>
        <v>4.4519650655021836</v>
      </c>
      <c r="W41" s="180">
        <f t="shared" si="7"/>
        <v>0.42554585152838431</v>
      </c>
      <c r="X41" s="80"/>
      <c r="Y41" s="80"/>
      <c r="Z41" s="87"/>
      <c r="AA41" s="87"/>
      <c r="AB41" s="87"/>
      <c r="AC41" s="87"/>
      <c r="AD41" s="87"/>
      <c r="AE41" s="87"/>
      <c r="AF41" s="87"/>
      <c r="AG41" s="87"/>
      <c r="AH41" s="87"/>
      <c r="AI41" s="87"/>
      <c r="AJ41" s="87"/>
      <c r="AK41" s="87"/>
      <c r="AL41" s="87"/>
      <c r="AM41" s="87"/>
      <c r="AN41" s="87"/>
      <c r="AO41" s="87"/>
      <c r="AP41" s="87"/>
      <c r="AQ41" s="87"/>
      <c r="AR41" s="87"/>
      <c r="AS41" s="87"/>
      <c r="AT41" s="87"/>
      <c r="AU41" s="87"/>
      <c r="AV41" s="87"/>
      <c r="AW41" s="87"/>
      <c r="AX41" s="87"/>
      <c r="AY41" s="87"/>
      <c r="AZ41" s="87"/>
      <c r="BA41" s="87"/>
      <c r="BB41" s="87"/>
      <c r="BC41" s="87"/>
      <c r="BD41" s="87"/>
      <c r="BE41" s="87"/>
      <c r="BF41" s="87"/>
      <c r="BG41" s="87"/>
      <c r="BH41" s="87"/>
      <c r="BI41" s="87"/>
      <c r="BJ41" s="87"/>
      <c r="BK41" s="87"/>
      <c r="BL41" s="87"/>
      <c r="BM41" s="87"/>
      <c r="BN41" s="87"/>
      <c r="BO41" s="87"/>
      <c r="BP41" s="87"/>
      <c r="BQ41" s="87"/>
      <c r="BR41" s="87"/>
      <c r="BS41" s="87"/>
      <c r="BT41" s="87"/>
      <c r="BU41" s="87"/>
      <c r="BV41" s="87"/>
      <c r="BW41" s="87"/>
    </row>
    <row r="42" spans="1:75" ht="18.75">
      <c r="A42" s="7" t="s">
        <v>92</v>
      </c>
      <c r="B42" s="89">
        <v>475</v>
      </c>
      <c r="C42" s="51">
        <v>1397.6</v>
      </c>
      <c r="D42" s="51">
        <v>309.39999999999998</v>
      </c>
      <c r="E42" s="63">
        <v>1057.7</v>
      </c>
      <c r="F42" s="63">
        <f>908.5+116.4</f>
        <v>1024.9000000000001</v>
      </c>
      <c r="G42" s="63">
        <v>218.6</v>
      </c>
      <c r="H42" s="64"/>
      <c r="I42" s="64"/>
      <c r="J42" s="108">
        <v>274</v>
      </c>
      <c r="K42" s="6">
        <f>2179.6+168.8</f>
        <v>2348.4</v>
      </c>
      <c r="L42" s="123">
        <f t="shared" si="2"/>
        <v>6630.6</v>
      </c>
      <c r="M42" s="42">
        <v>63.8</v>
      </c>
      <c r="N42" s="138">
        <f t="shared" si="3"/>
        <v>2301.2000000000003</v>
      </c>
      <c r="O42" s="125">
        <v>153.5</v>
      </c>
      <c r="P42" s="109">
        <f t="shared" si="4"/>
        <v>2454.7000000000003</v>
      </c>
      <c r="Q42" s="39">
        <f t="shared" si="9"/>
        <v>13.959</v>
      </c>
      <c r="R42" s="39">
        <f t="shared" si="1"/>
        <v>5.1677894736842109</v>
      </c>
      <c r="S42" s="128">
        <f t="shared" si="5"/>
        <v>0.67811513237794507</v>
      </c>
      <c r="T42" s="154">
        <f t="shared" si="6"/>
        <v>6694.4000000000005</v>
      </c>
      <c r="U42" s="85"/>
      <c r="V42" s="178">
        <f t="shared" si="8"/>
        <v>4.8446315789473688</v>
      </c>
      <c r="W42" s="180">
        <f t="shared" si="7"/>
        <v>0.32315789473684209</v>
      </c>
    </row>
    <row r="43" spans="1:75" ht="18.75">
      <c r="A43" s="7" t="s">
        <v>93</v>
      </c>
      <c r="B43" s="89">
        <v>216</v>
      </c>
      <c r="C43" s="51">
        <v>811.4</v>
      </c>
      <c r="D43" s="51">
        <v>179.7</v>
      </c>
      <c r="E43" s="63">
        <v>261.89999999999998</v>
      </c>
      <c r="F43" s="63">
        <f>643.8+83.6</f>
        <v>727.4</v>
      </c>
      <c r="G43" s="63">
        <v>90.4</v>
      </c>
      <c r="H43" s="64"/>
      <c r="I43" s="64"/>
      <c r="J43" s="108">
        <v>154</v>
      </c>
      <c r="K43" s="6">
        <f>1005.2+77.9</f>
        <v>1083.1000000000001</v>
      </c>
      <c r="L43" s="123">
        <f t="shared" si="2"/>
        <v>3307.9</v>
      </c>
      <c r="M43" s="42">
        <v>40</v>
      </c>
      <c r="N43" s="138">
        <f t="shared" si="3"/>
        <v>1079.7</v>
      </c>
      <c r="O43" s="125">
        <v>114.4</v>
      </c>
      <c r="P43" s="109">
        <f t="shared" si="4"/>
        <v>1194.1000000000001</v>
      </c>
      <c r="Q43" s="39">
        <f t="shared" si="9"/>
        <v>15.314</v>
      </c>
      <c r="R43" s="39">
        <f t="shared" si="1"/>
        <v>5.528240740740741</v>
      </c>
      <c r="S43" s="128">
        <f t="shared" si="5"/>
        <v>0.74393976196259415</v>
      </c>
      <c r="T43" s="92">
        <f t="shared" si="6"/>
        <v>3347.9</v>
      </c>
      <c r="U43" s="85"/>
      <c r="V43" s="178">
        <f t="shared" si="8"/>
        <v>4.9986111111111109</v>
      </c>
      <c r="W43" s="180">
        <f t="shared" si="7"/>
        <v>0.52962962962962967</v>
      </c>
    </row>
    <row r="44" spans="1:75" s="107" customFormat="1" ht="18.75">
      <c r="A44" s="120">
        <v>235</v>
      </c>
      <c r="B44" s="106">
        <v>171</v>
      </c>
      <c r="C44" s="52">
        <v>834.8</v>
      </c>
      <c r="D44" s="52">
        <v>184.8</v>
      </c>
      <c r="E44" s="65">
        <v>390.5</v>
      </c>
      <c r="F44" s="65">
        <v>587.79999999999995</v>
      </c>
      <c r="G44" s="65">
        <v>69.599999999999994</v>
      </c>
      <c r="H44" s="66"/>
      <c r="I44" s="66"/>
      <c r="J44" s="96">
        <v>154</v>
      </c>
      <c r="K44" s="97">
        <f>816.3+63.2</f>
        <v>879.5</v>
      </c>
      <c r="L44" s="123">
        <f t="shared" si="2"/>
        <v>3101</v>
      </c>
      <c r="M44" s="42">
        <v>27.9</v>
      </c>
      <c r="N44" s="138">
        <f t="shared" si="3"/>
        <v>1047.8999999999999</v>
      </c>
      <c r="O44" s="125">
        <v>106</v>
      </c>
      <c r="P44" s="109">
        <f t="shared" si="4"/>
        <v>1153.8999999999999</v>
      </c>
      <c r="Q44" s="39">
        <f t="shared" si="9"/>
        <v>18.135000000000002</v>
      </c>
      <c r="R44" s="39">
        <f t="shared" si="1"/>
        <v>6.7479532163742686</v>
      </c>
      <c r="S44" s="128">
        <f t="shared" si="5"/>
        <v>0.88098129706096673</v>
      </c>
      <c r="T44" s="92">
        <f t="shared" si="6"/>
        <v>3128.9</v>
      </c>
      <c r="U44" s="85"/>
      <c r="V44" s="178">
        <f t="shared" si="8"/>
        <v>6.1280701754385953</v>
      </c>
      <c r="W44" s="180">
        <f t="shared" si="7"/>
        <v>0.61988304093567248</v>
      </c>
      <c r="X44" s="80"/>
      <c r="Y44" s="80"/>
      <c r="Z44" s="87"/>
      <c r="AA44" s="87"/>
      <c r="AB44" s="87"/>
      <c r="AC44" s="87"/>
      <c r="AD44" s="87"/>
      <c r="AE44" s="87"/>
      <c r="AF44" s="87"/>
      <c r="AG44" s="87"/>
      <c r="AH44" s="87"/>
      <c r="AI44" s="87"/>
      <c r="AJ44" s="87"/>
      <c r="AK44" s="87"/>
      <c r="AL44" s="87"/>
      <c r="AM44" s="87"/>
      <c r="AN44" s="87"/>
      <c r="AO44" s="87"/>
      <c r="AP44" s="87"/>
      <c r="AQ44" s="87"/>
      <c r="AR44" s="87"/>
      <c r="AS44" s="87"/>
      <c r="AT44" s="87"/>
      <c r="AU44" s="87"/>
      <c r="AV44" s="87"/>
      <c r="AW44" s="87"/>
      <c r="AX44" s="87"/>
      <c r="AY44" s="87"/>
      <c r="AZ44" s="87"/>
      <c r="BA44" s="87"/>
      <c r="BB44" s="87"/>
      <c r="BC44" s="87"/>
      <c r="BD44" s="87"/>
      <c r="BE44" s="87"/>
      <c r="BF44" s="87"/>
      <c r="BG44" s="87"/>
      <c r="BH44" s="87"/>
      <c r="BI44" s="87"/>
      <c r="BJ44" s="87"/>
      <c r="BK44" s="87"/>
      <c r="BL44" s="87"/>
      <c r="BM44" s="87"/>
      <c r="BN44" s="87"/>
      <c r="BO44" s="87"/>
      <c r="BP44" s="87"/>
      <c r="BQ44" s="87"/>
      <c r="BR44" s="87"/>
      <c r="BS44" s="87"/>
      <c r="BT44" s="87"/>
      <c r="BU44" s="87"/>
      <c r="BV44" s="87"/>
      <c r="BW44" s="87"/>
    </row>
    <row r="45" spans="1:75" ht="18.75">
      <c r="A45" s="7" t="s">
        <v>94</v>
      </c>
      <c r="B45" s="89">
        <v>445</v>
      </c>
      <c r="C45" s="51">
        <v>1327.3</v>
      </c>
      <c r="D45" s="51">
        <v>293.89999999999998</v>
      </c>
      <c r="E45" s="63">
        <v>593.5</v>
      </c>
      <c r="F45" s="63">
        <v>1388.2</v>
      </c>
      <c r="G45" s="63">
        <v>185.4</v>
      </c>
      <c r="H45" s="64"/>
      <c r="I45" s="64"/>
      <c r="J45" s="108">
        <v>274</v>
      </c>
      <c r="K45" s="6">
        <f>1837.9+142.3</f>
        <v>1980.2</v>
      </c>
      <c r="L45" s="123">
        <f t="shared" si="2"/>
        <v>6042.5</v>
      </c>
      <c r="M45" s="42">
        <v>60.5</v>
      </c>
      <c r="N45" s="138">
        <f t="shared" si="3"/>
        <v>2167.1</v>
      </c>
      <c r="O45" s="125">
        <v>143</v>
      </c>
      <c r="P45" s="109">
        <f t="shared" si="4"/>
        <v>2310.1</v>
      </c>
      <c r="Q45" s="39">
        <f t="shared" si="9"/>
        <v>13.579000000000001</v>
      </c>
      <c r="R45" s="39">
        <f t="shared" si="1"/>
        <v>5.1912359550561797</v>
      </c>
      <c r="S45" s="128">
        <f t="shared" si="5"/>
        <v>0.6596550886567889</v>
      </c>
      <c r="T45" s="154">
        <f t="shared" si="6"/>
        <v>6103</v>
      </c>
      <c r="U45" s="85"/>
      <c r="V45" s="178">
        <f t="shared" si="8"/>
        <v>4.8698876404494378</v>
      </c>
      <c r="W45" s="180">
        <f t="shared" si="7"/>
        <v>0.32134831460674157</v>
      </c>
    </row>
    <row r="46" spans="1:75" ht="18.75">
      <c r="A46" s="7" t="s">
        <v>95</v>
      </c>
      <c r="B46" s="89">
        <v>422</v>
      </c>
      <c r="C46" s="51">
        <v>1092.8</v>
      </c>
      <c r="D46" s="51">
        <v>242</v>
      </c>
      <c r="E46" s="63">
        <v>556.70000000000005</v>
      </c>
      <c r="F46" s="63">
        <v>1817.9</v>
      </c>
      <c r="G46" s="63">
        <v>121.9</v>
      </c>
      <c r="H46" s="64"/>
      <c r="I46" s="64"/>
      <c r="J46" s="108">
        <v>187</v>
      </c>
      <c r="K46" s="6">
        <f>1881.6+145.7</f>
        <v>2027.3</v>
      </c>
      <c r="L46" s="123">
        <f t="shared" si="2"/>
        <v>6045.6</v>
      </c>
      <c r="M46" s="42">
        <v>58.1</v>
      </c>
      <c r="N46" s="138">
        <f t="shared" si="3"/>
        <v>2496.5000000000005</v>
      </c>
      <c r="O46" s="125">
        <v>142</v>
      </c>
      <c r="P46" s="109">
        <f t="shared" si="4"/>
        <v>2638.5000000000005</v>
      </c>
      <c r="Q46" s="39">
        <f t="shared" si="9"/>
        <v>14.326000000000001</v>
      </c>
      <c r="R46" s="39">
        <f t="shared" si="1"/>
        <v>6.2523696682464465</v>
      </c>
      <c r="S46" s="128">
        <f t="shared" si="5"/>
        <v>0.69594364828758803</v>
      </c>
      <c r="T46" s="92">
        <f t="shared" si="6"/>
        <v>6103.7000000000007</v>
      </c>
      <c r="U46" s="85"/>
      <c r="V46" s="178">
        <f t="shared" si="8"/>
        <v>5.915876777251186</v>
      </c>
      <c r="W46" s="180">
        <f t="shared" si="7"/>
        <v>0.33649289099526064</v>
      </c>
    </row>
    <row r="47" spans="1:75" ht="18.75">
      <c r="A47" s="7" t="s">
        <v>96</v>
      </c>
      <c r="B47" s="89">
        <v>161</v>
      </c>
      <c r="C47" s="51">
        <v>741</v>
      </c>
      <c r="D47" s="51">
        <v>164.1</v>
      </c>
      <c r="E47" s="63">
        <v>666.1</v>
      </c>
      <c r="F47" s="63">
        <v>407.6</v>
      </c>
      <c r="G47" s="63">
        <v>114.6</v>
      </c>
      <c r="H47" s="64"/>
      <c r="I47" s="64"/>
      <c r="J47" s="108">
        <v>154</v>
      </c>
      <c r="K47" s="6">
        <f>843.5+65.4</f>
        <v>908.9</v>
      </c>
      <c r="L47" s="123">
        <f t="shared" si="2"/>
        <v>3156.3</v>
      </c>
      <c r="M47" s="42">
        <v>22.2</v>
      </c>
      <c r="N47" s="138">
        <f t="shared" si="3"/>
        <v>1188.3</v>
      </c>
      <c r="O47" s="125">
        <v>103.8</v>
      </c>
      <c r="P47" s="109">
        <f t="shared" si="4"/>
        <v>1292.0999999999999</v>
      </c>
      <c r="Q47" s="39">
        <f t="shared" si="9"/>
        <v>19.603999999999999</v>
      </c>
      <c r="R47" s="39">
        <f t="shared" si="1"/>
        <v>8.0254658385093158</v>
      </c>
      <c r="S47" s="128">
        <f t="shared" si="5"/>
        <v>0.95234393976196252</v>
      </c>
      <c r="T47" s="92">
        <f t="shared" si="6"/>
        <v>3178.5</v>
      </c>
      <c r="U47" s="85"/>
      <c r="V47" s="178">
        <f t="shared" si="8"/>
        <v>7.3807453416149063</v>
      </c>
      <c r="W47" s="180">
        <f t="shared" si="7"/>
        <v>0.64472049689440991</v>
      </c>
    </row>
    <row r="48" spans="1:75" s="107" customFormat="1" ht="18.75">
      <c r="A48" s="120">
        <v>40</v>
      </c>
      <c r="B48" s="106">
        <v>51</v>
      </c>
      <c r="C48" s="52">
        <v>655</v>
      </c>
      <c r="D48" s="52">
        <v>145</v>
      </c>
      <c r="E48" s="65">
        <v>149</v>
      </c>
      <c r="F48" s="65">
        <v>246.7</v>
      </c>
      <c r="G48" s="65">
        <v>36.700000000000003</v>
      </c>
      <c r="H48" s="66"/>
      <c r="I48" s="66"/>
      <c r="J48" s="98">
        <v>130</v>
      </c>
      <c r="K48" s="44">
        <f>1068.9+82.8</f>
        <v>1151.7</v>
      </c>
      <c r="L48" s="123">
        <f t="shared" si="2"/>
        <v>2514.1</v>
      </c>
      <c r="M48" s="42">
        <v>20.2</v>
      </c>
      <c r="N48" s="138">
        <f t="shared" si="3"/>
        <v>432.4</v>
      </c>
      <c r="O48" s="125">
        <v>100.5</v>
      </c>
      <c r="P48" s="109">
        <f t="shared" si="4"/>
        <v>532.9</v>
      </c>
      <c r="Q48" s="39">
        <f t="shared" si="9"/>
        <v>49.295999999999999</v>
      </c>
      <c r="R48" s="39">
        <f t="shared" si="1"/>
        <v>10.449019607843137</v>
      </c>
      <c r="S48" s="156">
        <f t="shared" si="5"/>
        <v>2.3947534612581975</v>
      </c>
      <c r="T48" s="92">
        <f t="shared" si="6"/>
        <v>2534.2999999999997</v>
      </c>
      <c r="U48" s="85"/>
      <c r="V48" s="178">
        <f t="shared" si="8"/>
        <v>8.4784313725490197</v>
      </c>
      <c r="W48" s="180">
        <f t="shared" si="7"/>
        <v>1.9705882352941178</v>
      </c>
      <c r="X48" s="80"/>
      <c r="Y48" s="80"/>
      <c r="Z48" s="87"/>
      <c r="AA48" s="87"/>
      <c r="AB48" s="87"/>
      <c r="AC48" s="87"/>
      <c r="AD48" s="87"/>
      <c r="AE48" s="87"/>
      <c r="AF48" s="87"/>
      <c r="AG48" s="87"/>
      <c r="AH48" s="87"/>
      <c r="AI48" s="87"/>
      <c r="AJ48" s="87"/>
      <c r="AK48" s="87"/>
      <c r="AL48" s="87"/>
      <c r="AM48" s="87"/>
      <c r="AN48" s="87"/>
      <c r="AO48" s="87"/>
      <c r="AP48" s="87"/>
      <c r="AQ48" s="87"/>
      <c r="AR48" s="87"/>
      <c r="AS48" s="87"/>
      <c r="AT48" s="87"/>
      <c r="AU48" s="87"/>
      <c r="AV48" s="87"/>
      <c r="AW48" s="87"/>
      <c r="AX48" s="87"/>
      <c r="AY48" s="87"/>
      <c r="AZ48" s="87"/>
      <c r="BA48" s="87"/>
      <c r="BB48" s="87"/>
      <c r="BC48" s="87"/>
      <c r="BD48" s="87"/>
      <c r="BE48" s="87"/>
      <c r="BF48" s="87"/>
      <c r="BG48" s="87"/>
      <c r="BH48" s="87"/>
      <c r="BI48" s="87"/>
      <c r="BJ48" s="87"/>
      <c r="BK48" s="87"/>
      <c r="BL48" s="87"/>
      <c r="BM48" s="87"/>
      <c r="BN48" s="87"/>
      <c r="BO48" s="87"/>
      <c r="BP48" s="87"/>
      <c r="BQ48" s="87"/>
      <c r="BR48" s="87"/>
      <c r="BS48" s="87"/>
      <c r="BT48" s="87"/>
      <c r="BU48" s="87"/>
      <c r="BV48" s="87"/>
      <c r="BW48" s="87"/>
    </row>
    <row r="49" spans="1:75" ht="18.75">
      <c r="A49" s="7" t="s">
        <v>97</v>
      </c>
      <c r="B49" s="89">
        <v>164</v>
      </c>
      <c r="C49" s="51">
        <v>866.1</v>
      </c>
      <c r="D49" s="51">
        <v>191.8</v>
      </c>
      <c r="E49" s="63">
        <v>884.2</v>
      </c>
      <c r="F49" s="63">
        <v>520.29999999999995</v>
      </c>
      <c r="G49" s="63">
        <v>100.5</v>
      </c>
      <c r="H49" s="64"/>
      <c r="I49" s="64"/>
      <c r="J49" s="109">
        <v>154</v>
      </c>
      <c r="K49" s="42">
        <f>743.5+57.5</f>
        <v>801</v>
      </c>
      <c r="L49" s="123">
        <f t="shared" si="2"/>
        <v>3517.9</v>
      </c>
      <c r="M49" s="42">
        <v>17.8</v>
      </c>
      <c r="N49" s="138">
        <f t="shared" si="3"/>
        <v>1505</v>
      </c>
      <c r="O49" s="125">
        <v>114.4</v>
      </c>
      <c r="P49" s="109">
        <f t="shared" si="4"/>
        <v>1619.4</v>
      </c>
      <c r="Q49" s="39">
        <f t="shared" si="9"/>
        <v>21.451000000000001</v>
      </c>
      <c r="R49" s="39">
        <f t="shared" si="1"/>
        <v>9.8743902439024396</v>
      </c>
      <c r="S49" s="157">
        <f t="shared" si="5"/>
        <v>1.0420694680592664</v>
      </c>
      <c r="T49" s="92">
        <f t="shared" si="6"/>
        <v>3535.7000000000003</v>
      </c>
      <c r="U49" s="85"/>
      <c r="V49" s="178">
        <f t="shared" si="8"/>
        <v>9.1768292682926838</v>
      </c>
      <c r="W49" s="180">
        <f t="shared" si="7"/>
        <v>0.69756097560975616</v>
      </c>
    </row>
    <row r="50" spans="1:75" s="107" customFormat="1" ht="18.75">
      <c r="A50" s="120">
        <v>55</v>
      </c>
      <c r="B50" s="106">
        <v>162</v>
      </c>
      <c r="C50" s="52">
        <v>866.1</v>
      </c>
      <c r="D50" s="52">
        <v>191.8</v>
      </c>
      <c r="E50" s="65">
        <v>271</v>
      </c>
      <c r="F50" s="65">
        <v>601.9</v>
      </c>
      <c r="G50" s="65">
        <v>66.2</v>
      </c>
      <c r="H50" s="66"/>
      <c r="I50" s="66"/>
      <c r="J50" s="98">
        <v>154</v>
      </c>
      <c r="K50" s="44">
        <f>2536.1+196.4</f>
        <v>2732.5</v>
      </c>
      <c r="L50" s="123">
        <f t="shared" si="2"/>
        <v>4883.5</v>
      </c>
      <c r="M50" s="42">
        <v>31.7</v>
      </c>
      <c r="N50" s="138">
        <f t="shared" si="3"/>
        <v>939.1</v>
      </c>
      <c r="O50" s="125">
        <v>121.5</v>
      </c>
      <c r="P50" s="109">
        <f t="shared" si="4"/>
        <v>1060.5999999999999</v>
      </c>
      <c r="Q50" s="39">
        <f t="shared" si="9"/>
        <v>30.145</v>
      </c>
      <c r="R50" s="39">
        <f t="shared" si="1"/>
        <v>6.5469135802469127</v>
      </c>
      <c r="S50" s="157">
        <f t="shared" si="5"/>
        <v>1.4644158367743503</v>
      </c>
      <c r="T50" s="92">
        <f t="shared" si="6"/>
        <v>4915.2</v>
      </c>
      <c r="U50" s="85"/>
      <c r="V50" s="178">
        <f t="shared" si="8"/>
        <v>5.7969135802469136</v>
      </c>
      <c r="W50" s="180">
        <f t="shared" si="7"/>
        <v>0.75</v>
      </c>
      <c r="X50" s="80"/>
      <c r="Y50" s="80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  <c r="BU50" s="87"/>
      <c r="BV50" s="87"/>
      <c r="BW50" s="87"/>
    </row>
    <row r="51" spans="1:75" ht="18.75">
      <c r="A51" s="7" t="s">
        <v>98</v>
      </c>
      <c r="B51" s="89">
        <v>187</v>
      </c>
      <c r="C51" s="51">
        <v>1286.5999999999999</v>
      </c>
      <c r="D51" s="51">
        <v>284.89999999999998</v>
      </c>
      <c r="E51" s="63">
        <v>319.60000000000002</v>
      </c>
      <c r="F51" s="63">
        <v>516.1</v>
      </c>
      <c r="G51" s="63">
        <v>51.4</v>
      </c>
      <c r="H51" s="64"/>
      <c r="I51" s="64"/>
      <c r="J51" s="109">
        <v>164</v>
      </c>
      <c r="K51" s="42">
        <f>789+61.1</f>
        <v>850.1</v>
      </c>
      <c r="L51" s="123">
        <f t="shared" si="2"/>
        <v>3472.7</v>
      </c>
      <c r="M51" s="42">
        <v>52.8</v>
      </c>
      <c r="N51" s="138">
        <f t="shared" si="3"/>
        <v>887.1</v>
      </c>
      <c r="O51" s="125">
        <v>151.80000000000001</v>
      </c>
      <c r="P51" s="109">
        <f t="shared" si="4"/>
        <v>1038.9000000000001</v>
      </c>
      <c r="Q51" s="39">
        <f t="shared" si="9"/>
        <v>18.571000000000002</v>
      </c>
      <c r="R51" s="39">
        <f t="shared" si="1"/>
        <v>5.5556149732620321</v>
      </c>
      <c r="S51" s="128">
        <f t="shared" si="5"/>
        <v>0.90216176827787231</v>
      </c>
      <c r="T51" s="92">
        <f t="shared" si="6"/>
        <v>3525.5</v>
      </c>
      <c r="U51" s="85"/>
      <c r="V51" s="178">
        <f t="shared" si="8"/>
        <v>4.7438502673796794</v>
      </c>
      <c r="W51" s="180">
        <f t="shared" si="7"/>
        <v>0.81176470588235305</v>
      </c>
    </row>
    <row r="52" spans="1:75" ht="18.75">
      <c r="A52" s="7" t="s">
        <v>99</v>
      </c>
      <c r="B52" s="89">
        <v>178</v>
      </c>
      <c r="C52" s="51">
        <v>928.6</v>
      </c>
      <c r="D52" s="51">
        <v>205.6</v>
      </c>
      <c r="E52" s="63">
        <v>340.6</v>
      </c>
      <c r="F52" s="63">
        <v>524.9</v>
      </c>
      <c r="G52" s="63">
        <v>77.5</v>
      </c>
      <c r="H52" s="64"/>
      <c r="I52" s="64"/>
      <c r="J52" s="109">
        <v>154</v>
      </c>
      <c r="K52" s="42">
        <f>801.7+62.1</f>
        <v>863.80000000000007</v>
      </c>
      <c r="L52" s="123">
        <f t="shared" si="2"/>
        <v>3095</v>
      </c>
      <c r="M52" s="42">
        <v>26.8</v>
      </c>
      <c r="N52" s="138">
        <f t="shared" si="3"/>
        <v>943</v>
      </c>
      <c r="O52" s="125">
        <v>126.5</v>
      </c>
      <c r="P52" s="109">
        <f t="shared" si="4"/>
        <v>1069.5</v>
      </c>
      <c r="Q52" s="39">
        <f t="shared" si="9"/>
        <v>17.388000000000002</v>
      </c>
      <c r="R52" s="39">
        <f t="shared" si="1"/>
        <v>6.0084269662921352</v>
      </c>
      <c r="S52" s="128">
        <f t="shared" si="5"/>
        <v>0.8446927374301676</v>
      </c>
      <c r="T52" s="92">
        <f t="shared" si="6"/>
        <v>3121.8</v>
      </c>
      <c r="U52" s="85"/>
      <c r="V52" s="178">
        <f t="shared" si="8"/>
        <v>5.297752808988764</v>
      </c>
      <c r="W52" s="180">
        <f t="shared" si="7"/>
        <v>0.7106741573033708</v>
      </c>
    </row>
    <row r="53" spans="1:75" ht="18.75">
      <c r="A53" s="7" t="s">
        <v>100</v>
      </c>
      <c r="B53" s="89">
        <v>265</v>
      </c>
      <c r="C53" s="51">
        <v>1217.9000000000001</v>
      </c>
      <c r="D53" s="51">
        <v>269.7</v>
      </c>
      <c r="E53" s="63">
        <v>497.7</v>
      </c>
      <c r="F53" s="63">
        <v>1011.5</v>
      </c>
      <c r="G53" s="63">
        <v>129.5</v>
      </c>
      <c r="H53" s="64"/>
      <c r="I53" s="64"/>
      <c r="J53" s="109">
        <v>168</v>
      </c>
      <c r="K53" s="42">
        <f>1167.1+90.4</f>
        <v>1257.5</v>
      </c>
      <c r="L53" s="123">
        <f t="shared" si="2"/>
        <v>4551.8</v>
      </c>
      <c r="M53" s="42">
        <v>35.6</v>
      </c>
      <c r="N53" s="138">
        <f t="shared" si="3"/>
        <v>1638.7</v>
      </c>
      <c r="O53" s="125">
        <v>132.5</v>
      </c>
      <c r="P53" s="109">
        <f t="shared" si="4"/>
        <v>1771.2</v>
      </c>
      <c r="Q53" s="39">
        <f t="shared" si="9"/>
        <v>17.177</v>
      </c>
      <c r="R53" s="39">
        <f t="shared" si="1"/>
        <v>6.6837735849056603</v>
      </c>
      <c r="S53" s="128">
        <f t="shared" si="5"/>
        <v>0.83444255525868349</v>
      </c>
      <c r="T53" s="92">
        <f t="shared" si="6"/>
        <v>4587.4000000000005</v>
      </c>
      <c r="U53" s="85"/>
      <c r="V53" s="178">
        <f t="shared" si="8"/>
        <v>6.1837735849056603</v>
      </c>
      <c r="W53" s="180">
        <f t="shared" si="7"/>
        <v>0.5</v>
      </c>
    </row>
    <row r="54" spans="1:75" s="107" customFormat="1" ht="18.75">
      <c r="A54" s="120">
        <v>115</v>
      </c>
      <c r="B54" s="106">
        <v>58</v>
      </c>
      <c r="C54" s="52">
        <v>655</v>
      </c>
      <c r="D54" s="52">
        <v>145</v>
      </c>
      <c r="E54" s="65">
        <v>235.8</v>
      </c>
      <c r="F54" s="65">
        <v>390.3</v>
      </c>
      <c r="G54" s="65">
        <v>30.5</v>
      </c>
      <c r="H54" s="66"/>
      <c r="I54" s="66"/>
      <c r="J54" s="98">
        <v>130</v>
      </c>
      <c r="K54" s="44">
        <f>450.9+35</f>
        <v>485.9</v>
      </c>
      <c r="L54" s="123">
        <f t="shared" si="2"/>
        <v>2072.5</v>
      </c>
      <c r="M54" s="42">
        <v>26.7</v>
      </c>
      <c r="N54" s="138">
        <f t="shared" si="3"/>
        <v>656.6</v>
      </c>
      <c r="O54" s="125">
        <v>82.5</v>
      </c>
      <c r="P54" s="109">
        <f t="shared" si="4"/>
        <v>739.1</v>
      </c>
      <c r="Q54" s="39">
        <f t="shared" si="9"/>
        <v>35.732999999999997</v>
      </c>
      <c r="R54" s="39">
        <f t="shared" si="1"/>
        <v>12.743103448275862</v>
      </c>
      <c r="S54" s="157">
        <f t="shared" si="5"/>
        <v>1.735875637600194</v>
      </c>
      <c r="T54" s="92">
        <f t="shared" si="6"/>
        <v>2099.1999999999998</v>
      </c>
      <c r="U54" s="85"/>
      <c r="V54" s="178">
        <f t="shared" si="8"/>
        <v>11.320689655172414</v>
      </c>
      <c r="W54" s="180">
        <f t="shared" si="7"/>
        <v>1.4224137931034482</v>
      </c>
      <c r="X54" s="80"/>
      <c r="Y54" s="80"/>
      <c r="Z54" s="87"/>
      <c r="AA54" s="87"/>
      <c r="AB54" s="87"/>
      <c r="AC54" s="87"/>
      <c r="AD54" s="87"/>
      <c r="AE54" s="87"/>
      <c r="AF54" s="87"/>
      <c r="AG54" s="87"/>
      <c r="AH54" s="87"/>
      <c r="AI54" s="87"/>
      <c r="AJ54" s="87"/>
      <c r="AK54" s="87"/>
      <c r="AL54" s="87"/>
      <c r="AM54" s="87"/>
      <c r="AN54" s="87"/>
      <c r="AO54" s="87"/>
      <c r="AP54" s="87"/>
      <c r="AQ54" s="87"/>
      <c r="AR54" s="87"/>
      <c r="AS54" s="87"/>
      <c r="AT54" s="87"/>
      <c r="AU54" s="87"/>
      <c r="AV54" s="87"/>
      <c r="AW54" s="87"/>
      <c r="AX54" s="87"/>
      <c r="AY54" s="87"/>
      <c r="AZ54" s="87"/>
      <c r="BA54" s="87"/>
      <c r="BB54" s="87"/>
      <c r="BC54" s="87"/>
      <c r="BD54" s="87"/>
      <c r="BE54" s="87"/>
      <c r="BF54" s="87"/>
      <c r="BG54" s="87"/>
      <c r="BH54" s="87"/>
      <c r="BI54" s="87"/>
      <c r="BJ54" s="87"/>
      <c r="BK54" s="87"/>
      <c r="BL54" s="87"/>
      <c r="BM54" s="87"/>
      <c r="BN54" s="87"/>
      <c r="BO54" s="87"/>
      <c r="BP54" s="87"/>
      <c r="BQ54" s="87"/>
      <c r="BR54" s="87"/>
      <c r="BS54" s="87"/>
      <c r="BT54" s="87"/>
      <c r="BU54" s="87"/>
      <c r="BV54" s="87"/>
      <c r="BW54" s="87"/>
    </row>
    <row r="55" spans="1:75" ht="18.75">
      <c r="A55" s="7" t="s">
        <v>101</v>
      </c>
      <c r="B55" s="89">
        <v>190</v>
      </c>
      <c r="C55" s="51">
        <v>999</v>
      </c>
      <c r="D55" s="51">
        <v>221.2</v>
      </c>
      <c r="E55" s="63">
        <v>379.9</v>
      </c>
      <c r="F55" s="63">
        <v>416.3</v>
      </c>
      <c r="G55" s="63">
        <v>58</v>
      </c>
      <c r="H55" s="64"/>
      <c r="I55" s="64"/>
      <c r="J55" s="109">
        <v>154</v>
      </c>
      <c r="K55" s="42">
        <f>919.8+71.2</f>
        <v>991</v>
      </c>
      <c r="L55" s="123">
        <f t="shared" si="2"/>
        <v>3219.4</v>
      </c>
      <c r="M55" s="42">
        <v>29.3</v>
      </c>
      <c r="N55" s="138">
        <f t="shared" si="3"/>
        <v>854.2</v>
      </c>
      <c r="O55" s="125">
        <v>123.5</v>
      </c>
      <c r="P55" s="109">
        <f t="shared" si="4"/>
        <v>977.7</v>
      </c>
      <c r="Q55" s="39">
        <f t="shared" si="9"/>
        <v>16.943999999999999</v>
      </c>
      <c r="R55" s="39">
        <f t="shared" si="1"/>
        <v>5.1457894736842107</v>
      </c>
      <c r="S55" s="128">
        <f t="shared" si="5"/>
        <v>0.82312363371386921</v>
      </c>
      <c r="T55" s="92">
        <f t="shared" si="6"/>
        <v>3248.7000000000003</v>
      </c>
      <c r="U55" s="85"/>
      <c r="V55" s="178">
        <f t="shared" si="8"/>
        <v>4.4957894736842103</v>
      </c>
      <c r="W55" s="180">
        <f t="shared" si="7"/>
        <v>0.65</v>
      </c>
    </row>
    <row r="56" spans="1:75" ht="18.75">
      <c r="A56" s="7" t="s">
        <v>102</v>
      </c>
      <c r="B56" s="89">
        <v>186</v>
      </c>
      <c r="C56" s="51">
        <v>873.9</v>
      </c>
      <c r="D56" s="51">
        <v>193.5</v>
      </c>
      <c r="E56" s="63">
        <v>163.69999999999999</v>
      </c>
      <c r="F56" s="63">
        <v>461.9</v>
      </c>
      <c r="G56" s="63">
        <v>60.3</v>
      </c>
      <c r="H56" s="64"/>
      <c r="I56" s="64"/>
      <c r="J56" s="109">
        <v>154</v>
      </c>
      <c r="K56" s="42">
        <f>781.7+60.6</f>
        <v>842.30000000000007</v>
      </c>
      <c r="L56" s="123">
        <f t="shared" si="2"/>
        <v>2749.6</v>
      </c>
      <c r="M56" s="42">
        <v>32</v>
      </c>
      <c r="N56" s="138">
        <f t="shared" si="3"/>
        <v>685.89999999999986</v>
      </c>
      <c r="O56" s="125">
        <v>120</v>
      </c>
      <c r="P56" s="109">
        <f t="shared" si="4"/>
        <v>805.89999999999986</v>
      </c>
      <c r="Q56" s="39">
        <f t="shared" si="9"/>
        <v>14.782999999999999</v>
      </c>
      <c r="R56" s="39">
        <f t="shared" si="1"/>
        <v>4.3327956989247305</v>
      </c>
      <c r="S56" s="128">
        <f t="shared" si="5"/>
        <v>0.71814427981539952</v>
      </c>
      <c r="T56" s="92">
        <f t="shared" si="6"/>
        <v>2781.6</v>
      </c>
      <c r="U56" s="85"/>
      <c r="V56" s="178">
        <f t="shared" si="8"/>
        <v>3.68763440860215</v>
      </c>
      <c r="W56" s="180">
        <f t="shared" si="7"/>
        <v>0.64516129032258063</v>
      </c>
    </row>
    <row r="57" spans="1:75" ht="18.75">
      <c r="A57" s="7" t="s">
        <v>103</v>
      </c>
      <c r="B57" s="89">
        <v>127</v>
      </c>
      <c r="C57" s="51">
        <v>827</v>
      </c>
      <c r="D57" s="51">
        <v>183.1</v>
      </c>
      <c r="E57" s="63">
        <v>189.9</v>
      </c>
      <c r="F57" s="63">
        <v>603.6</v>
      </c>
      <c r="G57" s="63">
        <v>52.3</v>
      </c>
      <c r="H57" s="64"/>
      <c r="I57" s="64"/>
      <c r="J57" s="109">
        <v>150</v>
      </c>
      <c r="K57" s="42">
        <f>676.2+52.4</f>
        <v>728.6</v>
      </c>
      <c r="L57" s="123">
        <f t="shared" si="2"/>
        <v>2734.5</v>
      </c>
      <c r="M57" s="42">
        <v>35.299999999999997</v>
      </c>
      <c r="N57" s="138">
        <f t="shared" si="3"/>
        <v>845.8</v>
      </c>
      <c r="O57" s="125">
        <v>94.8</v>
      </c>
      <c r="P57" s="109">
        <f t="shared" si="4"/>
        <v>940.59999999999991</v>
      </c>
      <c r="Q57" s="39">
        <f t="shared" si="9"/>
        <v>21.530999999999999</v>
      </c>
      <c r="R57" s="39">
        <f t="shared" si="1"/>
        <v>7.4062992125984248</v>
      </c>
      <c r="S57" s="157">
        <f t="shared" si="5"/>
        <v>1.045955793053194</v>
      </c>
      <c r="T57" s="92">
        <f t="shared" si="6"/>
        <v>2769.8</v>
      </c>
      <c r="U57" s="85"/>
      <c r="V57" s="178">
        <f t="shared" si="8"/>
        <v>6.6598425196850393</v>
      </c>
      <c r="W57" s="180">
        <f t="shared" si="7"/>
        <v>0.74645669291338579</v>
      </c>
    </row>
    <row r="58" spans="1:75" ht="18.75">
      <c r="A58" s="7" t="s">
        <v>104</v>
      </c>
      <c r="B58" s="89">
        <v>222</v>
      </c>
      <c r="C58" s="51">
        <v>1006.8</v>
      </c>
      <c r="D58" s="51">
        <v>222.9</v>
      </c>
      <c r="E58" s="63">
        <f>284.9</f>
        <v>284.89999999999998</v>
      </c>
      <c r="F58" s="63">
        <f>604.9+78.2</f>
        <v>683.1</v>
      </c>
      <c r="G58" s="63">
        <v>57.8</v>
      </c>
      <c r="H58" s="64"/>
      <c r="I58" s="64"/>
      <c r="J58" s="109">
        <v>154</v>
      </c>
      <c r="K58" s="42">
        <f>1030.8+79.8</f>
        <v>1110.5999999999999</v>
      </c>
      <c r="L58" s="123">
        <f t="shared" si="2"/>
        <v>3520.1</v>
      </c>
      <c r="M58" s="42">
        <v>27.8</v>
      </c>
      <c r="N58" s="138">
        <f t="shared" si="3"/>
        <v>1025.8</v>
      </c>
      <c r="O58" s="125">
        <v>119.4</v>
      </c>
      <c r="P58" s="109">
        <f t="shared" si="4"/>
        <v>1145.2</v>
      </c>
      <c r="Q58" s="39">
        <f t="shared" si="9"/>
        <v>15.856</v>
      </c>
      <c r="R58" s="39">
        <f t="shared" si="1"/>
        <v>5.1585585585585587</v>
      </c>
      <c r="S58" s="128">
        <f t="shared" si="5"/>
        <v>0.77026961379645364</v>
      </c>
      <c r="T58" s="92">
        <f t="shared" si="6"/>
        <v>3547.9</v>
      </c>
      <c r="U58" s="85"/>
      <c r="V58" s="178">
        <f t="shared" si="8"/>
        <v>4.6207207207207208</v>
      </c>
      <c r="W58" s="180">
        <f t="shared" si="7"/>
        <v>0.5378378378378379</v>
      </c>
    </row>
    <row r="59" spans="1:75" ht="18.75">
      <c r="A59" s="7" t="s">
        <v>105</v>
      </c>
      <c r="B59" s="89">
        <v>118</v>
      </c>
      <c r="C59" s="51">
        <v>741</v>
      </c>
      <c r="D59" s="51">
        <v>164.1</v>
      </c>
      <c r="E59" s="63">
        <v>248.9</v>
      </c>
      <c r="F59" s="63">
        <v>450.3</v>
      </c>
      <c r="G59" s="63">
        <v>40.700000000000003</v>
      </c>
      <c r="H59" s="64"/>
      <c r="I59" s="64"/>
      <c r="J59" s="109">
        <v>130</v>
      </c>
      <c r="K59" s="42">
        <f>561.7+43.5</f>
        <v>605.20000000000005</v>
      </c>
      <c r="L59" s="123">
        <f t="shared" si="2"/>
        <v>2380.1999999999998</v>
      </c>
      <c r="M59" s="42">
        <v>18.600000000000001</v>
      </c>
      <c r="N59" s="138">
        <f t="shared" si="3"/>
        <v>739.90000000000009</v>
      </c>
      <c r="O59" s="125">
        <v>102.9</v>
      </c>
      <c r="P59" s="109">
        <f t="shared" si="4"/>
        <v>842.80000000000007</v>
      </c>
      <c r="Q59" s="39">
        <f t="shared" si="9"/>
        <v>20.170999999999999</v>
      </c>
      <c r="R59" s="39">
        <f t="shared" si="1"/>
        <v>7.1423728813559331</v>
      </c>
      <c r="S59" s="128">
        <f t="shared" si="5"/>
        <v>0.97988826815642449</v>
      </c>
      <c r="T59" s="92">
        <f t="shared" si="6"/>
        <v>2398.7999999999997</v>
      </c>
      <c r="U59" s="85"/>
      <c r="V59" s="178">
        <f t="shared" si="8"/>
        <v>6.2703389830508485</v>
      </c>
      <c r="W59" s="180">
        <f t="shared" si="7"/>
        <v>0.87203389830508482</v>
      </c>
    </row>
    <row r="60" spans="1:75" ht="18.75">
      <c r="A60" s="7" t="s">
        <v>106</v>
      </c>
      <c r="B60" s="89">
        <v>188</v>
      </c>
      <c r="C60" s="51">
        <v>967.7</v>
      </c>
      <c r="D60" s="51">
        <v>214.3</v>
      </c>
      <c r="E60" s="63">
        <v>314.3</v>
      </c>
      <c r="F60" s="63">
        <v>771.6</v>
      </c>
      <c r="G60" s="63">
        <v>94</v>
      </c>
      <c r="H60" s="64"/>
      <c r="I60" s="64"/>
      <c r="J60" s="109">
        <v>154</v>
      </c>
      <c r="K60" s="42">
        <f>861.7+66.7</f>
        <v>928.40000000000009</v>
      </c>
      <c r="L60" s="123">
        <f t="shared" si="2"/>
        <v>3444.3</v>
      </c>
      <c r="M60" s="42">
        <v>35.6</v>
      </c>
      <c r="N60" s="138">
        <f t="shared" si="3"/>
        <v>1179.9000000000001</v>
      </c>
      <c r="O60" s="125">
        <v>139</v>
      </c>
      <c r="P60" s="109">
        <f t="shared" si="4"/>
        <v>1318.9</v>
      </c>
      <c r="Q60" s="39">
        <f t="shared" si="9"/>
        <v>18.321000000000002</v>
      </c>
      <c r="R60" s="39">
        <f t="shared" si="1"/>
        <v>7.0154255319148939</v>
      </c>
      <c r="S60" s="128">
        <f t="shared" si="5"/>
        <v>0.89001700267184847</v>
      </c>
      <c r="T60" s="92">
        <f t="shared" si="6"/>
        <v>3479.9</v>
      </c>
      <c r="U60" s="85"/>
      <c r="V60" s="178">
        <f t="shared" si="8"/>
        <v>6.2760638297872342</v>
      </c>
      <c r="W60" s="180">
        <f t="shared" si="7"/>
        <v>0.73936170212765961</v>
      </c>
    </row>
    <row r="61" spans="1:75" ht="18.75">
      <c r="A61" s="7" t="s">
        <v>107</v>
      </c>
      <c r="B61" s="89">
        <v>182</v>
      </c>
      <c r="C61" s="51">
        <v>967.7</v>
      </c>
      <c r="D61" s="51">
        <v>214.3</v>
      </c>
      <c r="E61" s="63">
        <v>334</v>
      </c>
      <c r="F61" s="63">
        <v>503</v>
      </c>
      <c r="G61" s="63">
        <v>99.3</v>
      </c>
      <c r="H61" s="64"/>
      <c r="I61" s="64"/>
      <c r="J61" s="109">
        <v>154</v>
      </c>
      <c r="K61" s="42">
        <f>816.2+63.2</f>
        <v>879.40000000000009</v>
      </c>
      <c r="L61" s="123">
        <f t="shared" si="2"/>
        <v>3151.7</v>
      </c>
      <c r="M61" s="42">
        <v>27.6</v>
      </c>
      <c r="N61" s="138">
        <f t="shared" si="3"/>
        <v>936.3</v>
      </c>
      <c r="O61" s="125">
        <v>129.4</v>
      </c>
      <c r="P61" s="109">
        <f t="shared" si="4"/>
        <v>1065.7</v>
      </c>
      <c r="Q61" s="39">
        <f t="shared" si="9"/>
        <v>17.317</v>
      </c>
      <c r="R61" s="39">
        <f t="shared" si="1"/>
        <v>5.855494505494506</v>
      </c>
      <c r="S61" s="128">
        <f t="shared" si="5"/>
        <v>0.84124362399805686</v>
      </c>
      <c r="T61" s="92">
        <f t="shared" si="6"/>
        <v>3179.2999999999997</v>
      </c>
      <c r="U61" s="85"/>
      <c r="V61" s="178">
        <f t="shared" si="8"/>
        <v>5.144505494505494</v>
      </c>
      <c r="W61" s="180">
        <f t="shared" si="7"/>
        <v>0.71098901098901102</v>
      </c>
    </row>
    <row r="62" spans="1:75" s="107" customFormat="1" ht="18.75">
      <c r="A62" s="120">
        <v>159</v>
      </c>
      <c r="B62" s="106">
        <v>70</v>
      </c>
      <c r="C62" s="52">
        <v>795.7</v>
      </c>
      <c r="D62" s="52">
        <v>176.2</v>
      </c>
      <c r="E62" s="65">
        <v>275.10000000000002</v>
      </c>
      <c r="F62" s="65">
        <v>488.1</v>
      </c>
      <c r="G62" s="65">
        <v>34.1</v>
      </c>
      <c r="H62" s="66"/>
      <c r="I62" s="66"/>
      <c r="J62" s="98">
        <v>150</v>
      </c>
      <c r="K62" s="44">
        <f>723.6+56</f>
        <v>779.6</v>
      </c>
      <c r="L62" s="123">
        <f t="shared" si="2"/>
        <v>2698.8</v>
      </c>
      <c r="M62" s="42">
        <v>28.5</v>
      </c>
      <c r="N62" s="138">
        <f t="shared" si="3"/>
        <v>797.30000000000007</v>
      </c>
      <c r="O62" s="125">
        <v>115.5</v>
      </c>
      <c r="P62" s="109">
        <f t="shared" si="4"/>
        <v>912.80000000000007</v>
      </c>
      <c r="Q62" s="39">
        <f t="shared" si="9"/>
        <v>38.554000000000002</v>
      </c>
      <c r="R62" s="39">
        <f t="shared" si="1"/>
        <v>13.040000000000001</v>
      </c>
      <c r="S62" s="157">
        <f t="shared" si="5"/>
        <v>1.8729171726985669</v>
      </c>
      <c r="T62" s="92">
        <f t="shared" si="6"/>
        <v>2727.3</v>
      </c>
      <c r="U62" s="85"/>
      <c r="V62" s="178">
        <f t="shared" si="8"/>
        <v>11.39</v>
      </c>
      <c r="W62" s="180">
        <f t="shared" si="7"/>
        <v>1.65</v>
      </c>
      <c r="X62" s="80"/>
      <c r="Y62" s="80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  <c r="BU62" s="87"/>
      <c r="BV62" s="87"/>
      <c r="BW62" s="87"/>
    </row>
    <row r="63" spans="1:75" ht="18.75">
      <c r="A63" s="7" t="s">
        <v>108</v>
      </c>
      <c r="B63" s="89">
        <v>195</v>
      </c>
      <c r="C63" s="51">
        <v>952.1</v>
      </c>
      <c r="D63" s="51">
        <v>210.8</v>
      </c>
      <c r="E63" s="63">
        <v>322.89999999999998</v>
      </c>
      <c r="F63" s="63">
        <v>769.8</v>
      </c>
      <c r="G63" s="63">
        <v>91.1</v>
      </c>
      <c r="H63" s="64"/>
      <c r="I63" s="64"/>
      <c r="J63" s="109">
        <v>154</v>
      </c>
      <c r="K63" s="42">
        <f>794.4+61.6</f>
        <v>856</v>
      </c>
      <c r="L63" s="123">
        <f t="shared" si="2"/>
        <v>3356.7</v>
      </c>
      <c r="M63" s="42">
        <v>39.5</v>
      </c>
      <c r="N63" s="138">
        <f t="shared" si="3"/>
        <v>1183.7999999999997</v>
      </c>
      <c r="O63" s="125">
        <v>135.80000000000001</v>
      </c>
      <c r="P63" s="109">
        <f t="shared" si="4"/>
        <v>1319.5999999999997</v>
      </c>
      <c r="Q63" s="39">
        <f t="shared" si="9"/>
        <v>17.213999999999999</v>
      </c>
      <c r="R63" s="39">
        <f t="shared" si="1"/>
        <v>6.7671794871794857</v>
      </c>
      <c r="S63" s="128">
        <f t="shared" si="5"/>
        <v>0.8362399805683749</v>
      </c>
      <c r="T63" s="92">
        <f t="shared" si="6"/>
        <v>3396.2</v>
      </c>
      <c r="U63" s="85"/>
      <c r="V63" s="178">
        <f t="shared" si="8"/>
        <v>6.0707692307692298</v>
      </c>
      <c r="W63" s="180">
        <f t="shared" si="7"/>
        <v>0.69641025641025645</v>
      </c>
    </row>
    <row r="64" spans="1:75" s="107" customFormat="1" ht="18.75">
      <c r="A64" s="120">
        <v>173</v>
      </c>
      <c r="B64" s="106">
        <v>105</v>
      </c>
      <c r="C64" s="52">
        <v>905.2</v>
      </c>
      <c r="D64" s="52">
        <v>200.4</v>
      </c>
      <c r="E64" s="65">
        <v>248.9</v>
      </c>
      <c r="F64" s="65">
        <v>766.3</v>
      </c>
      <c r="G64" s="65">
        <v>61.6</v>
      </c>
      <c r="H64" s="66"/>
      <c r="I64" s="66"/>
      <c r="J64" s="98">
        <v>154</v>
      </c>
      <c r="K64" s="44">
        <f>699.9+54.2</f>
        <v>754.1</v>
      </c>
      <c r="L64" s="123">
        <f t="shared" si="2"/>
        <v>3090.5</v>
      </c>
      <c r="M64" s="42">
        <v>27.6</v>
      </c>
      <c r="N64" s="138">
        <f t="shared" si="3"/>
        <v>1076.8</v>
      </c>
      <c r="O64" s="125">
        <v>119</v>
      </c>
      <c r="P64" s="109">
        <f t="shared" si="4"/>
        <v>1195.8</v>
      </c>
      <c r="Q64" s="39">
        <f t="shared" si="9"/>
        <v>29.433</v>
      </c>
      <c r="R64" s="39">
        <f t="shared" si="1"/>
        <v>11.388571428571428</v>
      </c>
      <c r="S64" s="157">
        <f t="shared" si="5"/>
        <v>1.4298275443283943</v>
      </c>
      <c r="T64" s="92">
        <f t="shared" si="6"/>
        <v>3118.1</v>
      </c>
      <c r="U64" s="85"/>
      <c r="V64" s="178">
        <f t="shared" si="8"/>
        <v>10.255238095238095</v>
      </c>
      <c r="W64" s="180">
        <f t="shared" si="7"/>
        <v>1.1333333333333333</v>
      </c>
      <c r="X64" s="80"/>
      <c r="Y64" s="80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  <c r="BU64" s="87"/>
      <c r="BV64" s="87"/>
      <c r="BW64" s="87"/>
    </row>
    <row r="65" spans="1:75" ht="18.75">
      <c r="A65" s="7" t="s">
        <v>109</v>
      </c>
      <c r="B65" s="89">
        <v>166</v>
      </c>
      <c r="C65" s="51">
        <v>873.9</v>
      </c>
      <c r="D65" s="51">
        <v>193.5</v>
      </c>
      <c r="E65" s="63">
        <v>390.9</v>
      </c>
      <c r="F65" s="63">
        <v>614.79999999999995</v>
      </c>
      <c r="G65" s="63">
        <v>71.5</v>
      </c>
      <c r="H65" s="64"/>
      <c r="I65" s="64"/>
      <c r="J65" s="109">
        <v>154</v>
      </c>
      <c r="K65" s="42">
        <f>752.6+58.3</f>
        <v>810.9</v>
      </c>
      <c r="L65" s="123">
        <f t="shared" si="2"/>
        <v>3109.5</v>
      </c>
      <c r="M65" s="42">
        <v>24.2</v>
      </c>
      <c r="N65" s="138">
        <f t="shared" si="3"/>
        <v>1077.1999999999998</v>
      </c>
      <c r="O65" s="125">
        <v>124.9</v>
      </c>
      <c r="P65" s="109">
        <f t="shared" si="4"/>
        <v>1202.0999999999999</v>
      </c>
      <c r="Q65" s="39">
        <f t="shared" si="9"/>
        <v>18.731999999999999</v>
      </c>
      <c r="R65" s="39">
        <f t="shared" si="1"/>
        <v>7.2415662650602401</v>
      </c>
      <c r="S65" s="128">
        <f t="shared" si="5"/>
        <v>0.90998299732815147</v>
      </c>
      <c r="T65" s="92">
        <f t="shared" si="6"/>
        <v>3133.7</v>
      </c>
      <c r="U65" s="85"/>
      <c r="V65" s="178">
        <f t="shared" si="8"/>
        <v>6.4891566265060234</v>
      </c>
      <c r="W65" s="180">
        <f t="shared" si="7"/>
        <v>0.75240963855421694</v>
      </c>
    </row>
    <row r="66" spans="1:75" s="107" customFormat="1" ht="18.75">
      <c r="A66" s="120">
        <v>201</v>
      </c>
      <c r="B66" s="106">
        <v>181</v>
      </c>
      <c r="C66" s="52">
        <v>936.4</v>
      </c>
      <c r="D66" s="52">
        <v>207.3</v>
      </c>
      <c r="E66" s="65">
        <v>343.8</v>
      </c>
      <c r="F66" s="65">
        <v>753.9</v>
      </c>
      <c r="G66" s="65">
        <v>78.5</v>
      </c>
      <c r="H66" s="66"/>
      <c r="I66" s="66"/>
      <c r="J66" s="98">
        <v>154</v>
      </c>
      <c r="K66" s="44">
        <f>856.3+66.4</f>
        <v>922.69999999999993</v>
      </c>
      <c r="L66" s="123">
        <f t="shared" si="2"/>
        <v>3396.6</v>
      </c>
      <c r="M66" s="42">
        <v>33.4</v>
      </c>
      <c r="N66" s="138">
        <f t="shared" si="3"/>
        <v>1176.2</v>
      </c>
      <c r="O66" s="125">
        <v>121.5</v>
      </c>
      <c r="P66" s="109">
        <f t="shared" si="4"/>
        <v>1297.7</v>
      </c>
      <c r="Q66" s="39">
        <f t="shared" si="9"/>
        <v>18.765999999999998</v>
      </c>
      <c r="R66" s="39">
        <f t="shared" si="1"/>
        <v>7.1696132596685089</v>
      </c>
      <c r="S66" s="128">
        <f t="shared" si="5"/>
        <v>0.91163468545057069</v>
      </c>
      <c r="T66" s="92">
        <f t="shared" si="6"/>
        <v>3430</v>
      </c>
      <c r="U66" s="85"/>
      <c r="V66" s="178">
        <f t="shared" si="8"/>
        <v>6.4983425414364646</v>
      </c>
      <c r="W66" s="180">
        <f t="shared" si="7"/>
        <v>0.67127071823204421</v>
      </c>
      <c r="X66" s="80"/>
      <c r="Y66" s="80"/>
      <c r="Z66" s="87"/>
      <c r="AA66" s="87"/>
      <c r="AB66" s="87"/>
      <c r="AC66" s="87"/>
      <c r="AD66" s="87"/>
      <c r="AE66" s="87"/>
      <c r="AF66" s="87"/>
      <c r="AG66" s="87"/>
      <c r="AH66" s="87"/>
      <c r="AI66" s="87"/>
      <c r="AJ66" s="87"/>
      <c r="AK66" s="87"/>
      <c r="AL66" s="87"/>
      <c r="AM66" s="87"/>
      <c r="AN66" s="87"/>
      <c r="AO66" s="87"/>
      <c r="AP66" s="87"/>
      <c r="AQ66" s="87"/>
      <c r="AR66" s="87"/>
      <c r="AS66" s="87"/>
      <c r="AT66" s="87"/>
      <c r="AU66" s="87"/>
      <c r="AV66" s="87"/>
      <c r="AW66" s="87"/>
      <c r="AX66" s="87"/>
      <c r="AY66" s="87"/>
      <c r="AZ66" s="87"/>
      <c r="BA66" s="87"/>
      <c r="BB66" s="87"/>
      <c r="BC66" s="87"/>
      <c r="BD66" s="87"/>
      <c r="BE66" s="87"/>
      <c r="BF66" s="87"/>
      <c r="BG66" s="87"/>
      <c r="BH66" s="87"/>
      <c r="BI66" s="87"/>
      <c r="BJ66" s="87"/>
      <c r="BK66" s="87"/>
      <c r="BL66" s="87"/>
      <c r="BM66" s="87"/>
      <c r="BN66" s="87"/>
      <c r="BO66" s="87"/>
      <c r="BP66" s="87"/>
      <c r="BQ66" s="87"/>
      <c r="BR66" s="87"/>
      <c r="BS66" s="87"/>
      <c r="BT66" s="87"/>
      <c r="BU66" s="87"/>
      <c r="BV66" s="87"/>
      <c r="BW66" s="87"/>
    </row>
    <row r="67" spans="1:75" ht="18.75">
      <c r="A67" s="7" t="s">
        <v>110</v>
      </c>
      <c r="B67" s="89">
        <v>194</v>
      </c>
      <c r="C67" s="51">
        <v>913</v>
      </c>
      <c r="D67" s="51">
        <v>202.1</v>
      </c>
      <c r="E67" s="63">
        <v>268.5</v>
      </c>
      <c r="F67" s="63">
        <v>904.5</v>
      </c>
      <c r="G67" s="63">
        <v>86</v>
      </c>
      <c r="H67" s="64"/>
      <c r="I67" s="64"/>
      <c r="J67" s="109">
        <v>154</v>
      </c>
      <c r="K67" s="42">
        <f>843.5+65.3</f>
        <v>908.8</v>
      </c>
      <c r="L67" s="123">
        <f t="shared" si="2"/>
        <v>3436.9</v>
      </c>
      <c r="M67" s="42">
        <v>34</v>
      </c>
      <c r="N67" s="138">
        <f t="shared" si="3"/>
        <v>1259</v>
      </c>
      <c r="O67" s="125">
        <v>134.80000000000001</v>
      </c>
      <c r="P67" s="109">
        <f t="shared" si="4"/>
        <v>1393.8</v>
      </c>
      <c r="Q67" s="39">
        <f t="shared" ref="Q67:Q98" si="10">ROUND(L67/B67,3)</f>
        <v>17.716000000000001</v>
      </c>
      <c r="R67" s="39">
        <f t="shared" ref="R67:R130" si="11">P67/B67</f>
        <v>7.1845360824742261</v>
      </c>
      <c r="S67" s="128">
        <f t="shared" si="5"/>
        <v>0.86062666990527081</v>
      </c>
      <c r="T67" s="92">
        <f t="shared" si="6"/>
        <v>3470.9</v>
      </c>
      <c r="U67" s="85"/>
      <c r="V67" s="178">
        <f t="shared" si="8"/>
        <v>6.4896907216494846</v>
      </c>
      <c r="W67" s="180">
        <f t="shared" si="7"/>
        <v>0.69484536082474235</v>
      </c>
    </row>
    <row r="68" spans="1:75" ht="18.75">
      <c r="A68" s="7" t="s">
        <v>111</v>
      </c>
      <c r="B68" s="89">
        <v>191</v>
      </c>
      <c r="C68" s="51">
        <v>959.9</v>
      </c>
      <c r="D68" s="51">
        <v>212.5</v>
      </c>
      <c r="E68" s="63">
        <v>406</v>
      </c>
      <c r="F68" s="63">
        <v>908.1</v>
      </c>
      <c r="G68" s="63">
        <v>108.9</v>
      </c>
      <c r="H68" s="64"/>
      <c r="I68" s="64"/>
      <c r="J68" s="109">
        <v>154</v>
      </c>
      <c r="K68" s="42">
        <f>923.5+71.6</f>
        <v>995.1</v>
      </c>
      <c r="L68" s="123">
        <f t="shared" ref="L68:L131" si="12">ROUND(C68+D68+H68+J68+K68+F68+G68+E68,1)</f>
        <v>3744.5</v>
      </c>
      <c r="M68" s="42">
        <v>31.9</v>
      </c>
      <c r="N68" s="138">
        <f t="shared" ref="N68:N131" si="13">E68+F68+G68+H68+I68</f>
        <v>1423</v>
      </c>
      <c r="O68" s="125">
        <v>84.1</v>
      </c>
      <c r="P68" s="109">
        <f t="shared" ref="P68:P131" si="14">N68+O68</f>
        <v>1507.1</v>
      </c>
      <c r="Q68" s="39">
        <f t="shared" si="10"/>
        <v>19.605</v>
      </c>
      <c r="R68" s="39">
        <f t="shared" si="11"/>
        <v>7.8905759162303664</v>
      </c>
      <c r="S68" s="128">
        <f t="shared" ref="S68:S131" si="15">Q68/20.585</f>
        <v>0.95239251882438669</v>
      </c>
      <c r="T68" s="92">
        <f t="shared" ref="T68:T131" si="16">L68+M68</f>
        <v>3776.4</v>
      </c>
      <c r="U68" s="85"/>
      <c r="V68" s="178">
        <f t="shared" ref="V68:V131" si="17">N68/B68</f>
        <v>7.4502617801047117</v>
      </c>
      <c r="W68" s="180">
        <f t="shared" ref="W68:W131" si="18">O68/B68</f>
        <v>0.4403141361256544</v>
      </c>
    </row>
    <row r="69" spans="1:75" ht="18.75">
      <c r="A69" s="7" t="s">
        <v>112</v>
      </c>
      <c r="B69" s="89">
        <v>235</v>
      </c>
      <c r="C69" s="51">
        <v>1038.0999999999999</v>
      </c>
      <c r="D69" s="51">
        <v>229.8</v>
      </c>
      <c r="E69" s="63">
        <v>543.6</v>
      </c>
      <c r="F69" s="63">
        <v>520.29999999999995</v>
      </c>
      <c r="G69" s="63">
        <v>99.3</v>
      </c>
      <c r="H69" s="64"/>
      <c r="I69" s="64"/>
      <c r="J69" s="109">
        <v>154</v>
      </c>
      <c r="K69" s="42">
        <f>950.7+73.7</f>
        <v>1024.4000000000001</v>
      </c>
      <c r="L69" s="123">
        <f t="shared" si="12"/>
        <v>3609.5</v>
      </c>
      <c r="M69" s="42">
        <v>32</v>
      </c>
      <c r="N69" s="138">
        <f t="shared" si="13"/>
        <v>1163.2</v>
      </c>
      <c r="O69" s="125">
        <v>119.2</v>
      </c>
      <c r="P69" s="109">
        <f t="shared" si="14"/>
        <v>1282.4000000000001</v>
      </c>
      <c r="Q69" s="39">
        <f t="shared" si="10"/>
        <v>15.36</v>
      </c>
      <c r="R69" s="39">
        <f t="shared" si="11"/>
        <v>5.4570212765957447</v>
      </c>
      <c r="S69" s="128">
        <f t="shared" si="15"/>
        <v>0.74617439883410241</v>
      </c>
      <c r="T69" s="92">
        <f t="shared" si="16"/>
        <v>3641.5</v>
      </c>
      <c r="U69" s="85"/>
      <c r="V69" s="178">
        <f t="shared" si="17"/>
        <v>4.9497872340425531</v>
      </c>
      <c r="W69" s="180">
        <f t="shared" si="18"/>
        <v>0.50723404255319149</v>
      </c>
    </row>
    <row r="70" spans="1:75" ht="18.75">
      <c r="A70" s="7" t="s">
        <v>113</v>
      </c>
      <c r="B70" s="89">
        <v>157</v>
      </c>
      <c r="C70" s="51">
        <v>858.3</v>
      </c>
      <c r="D70" s="51">
        <v>190</v>
      </c>
      <c r="E70" s="63">
        <v>360.2</v>
      </c>
      <c r="F70" s="63">
        <v>437.5</v>
      </c>
      <c r="G70" s="63">
        <v>24.1</v>
      </c>
      <c r="H70" s="64"/>
      <c r="I70" s="64">
        <v>67.599999999999994</v>
      </c>
      <c r="J70" s="109">
        <v>150</v>
      </c>
      <c r="K70" s="42">
        <f>665.4+51.6</f>
        <v>717</v>
      </c>
      <c r="L70" s="123">
        <f>ROUND(C70+D70+H70+J70+K70+F70+G70+E70+I70,1)</f>
        <v>2804.7</v>
      </c>
      <c r="M70" s="42">
        <v>60.4</v>
      </c>
      <c r="N70" s="138">
        <f t="shared" si="13"/>
        <v>889.40000000000009</v>
      </c>
      <c r="O70" s="125">
        <v>90.6</v>
      </c>
      <c r="P70" s="109">
        <f t="shared" si="14"/>
        <v>980.00000000000011</v>
      </c>
      <c r="Q70" s="39">
        <f t="shared" si="10"/>
        <v>17.864000000000001</v>
      </c>
      <c r="R70" s="39">
        <f t="shared" si="11"/>
        <v>6.2420382165605099</v>
      </c>
      <c r="S70" s="128">
        <f t="shared" si="15"/>
        <v>0.86781637114403687</v>
      </c>
      <c r="T70" s="92">
        <f t="shared" si="16"/>
        <v>2865.1</v>
      </c>
      <c r="U70" s="85"/>
      <c r="V70" s="178">
        <f t="shared" si="17"/>
        <v>5.6649681528662423</v>
      </c>
      <c r="W70" s="180">
        <f t="shared" si="18"/>
        <v>0.5770700636942675</v>
      </c>
    </row>
    <row r="71" spans="1:75" ht="18.75">
      <c r="A71" s="7" t="s">
        <v>114</v>
      </c>
      <c r="B71" s="89">
        <v>123</v>
      </c>
      <c r="C71" s="51">
        <v>772.3</v>
      </c>
      <c r="D71" s="51">
        <v>171</v>
      </c>
      <c r="E71" s="63">
        <v>216.1</v>
      </c>
      <c r="F71" s="63">
        <v>218.7</v>
      </c>
      <c r="G71" s="63">
        <v>33.299999999999997</v>
      </c>
      <c r="H71" s="64"/>
      <c r="I71" s="64"/>
      <c r="J71" s="109">
        <v>130</v>
      </c>
      <c r="K71" s="42">
        <f>472.7+36.6</f>
        <v>509.3</v>
      </c>
      <c r="L71" s="123">
        <f t="shared" si="12"/>
        <v>2050.6999999999998</v>
      </c>
      <c r="M71" s="42">
        <v>17</v>
      </c>
      <c r="N71" s="138">
        <f t="shared" si="13"/>
        <v>468.09999999999997</v>
      </c>
      <c r="O71" s="125">
        <v>80.099999999999994</v>
      </c>
      <c r="P71" s="109">
        <f t="shared" si="14"/>
        <v>548.19999999999993</v>
      </c>
      <c r="Q71" s="39">
        <f t="shared" si="10"/>
        <v>16.672000000000001</v>
      </c>
      <c r="R71" s="39">
        <f t="shared" si="11"/>
        <v>4.4569105691056903</v>
      </c>
      <c r="S71" s="128">
        <f t="shared" si="15"/>
        <v>0.8099101287345154</v>
      </c>
      <c r="T71" s="92">
        <f t="shared" si="16"/>
        <v>2067.6999999999998</v>
      </c>
      <c r="U71" s="85"/>
      <c r="V71" s="178">
        <f t="shared" si="17"/>
        <v>3.8056910569105686</v>
      </c>
      <c r="W71" s="180">
        <f t="shared" si="18"/>
        <v>0.65121951219512186</v>
      </c>
    </row>
    <row r="72" spans="1:75" ht="18.75">
      <c r="A72" s="7" t="s">
        <v>115</v>
      </c>
      <c r="B72" s="89">
        <v>225</v>
      </c>
      <c r="C72" s="6">
        <v>1038.0999999999999</v>
      </c>
      <c r="D72" s="110">
        <v>229.8</v>
      </c>
      <c r="E72" s="67">
        <v>379.9</v>
      </c>
      <c r="F72" s="64">
        <v>766.5</v>
      </c>
      <c r="G72" s="64">
        <v>79</v>
      </c>
      <c r="H72" s="64"/>
      <c r="I72" s="64"/>
      <c r="J72" s="109">
        <v>154</v>
      </c>
      <c r="K72" s="42">
        <f>1118+86.6</f>
        <v>1204.5999999999999</v>
      </c>
      <c r="L72" s="123">
        <f t="shared" si="12"/>
        <v>3851.9</v>
      </c>
      <c r="M72" s="42">
        <v>36.700000000000003</v>
      </c>
      <c r="N72" s="138">
        <f t="shared" si="13"/>
        <v>1225.4000000000001</v>
      </c>
      <c r="O72" s="125">
        <v>111.7</v>
      </c>
      <c r="P72" s="109">
        <f t="shared" si="14"/>
        <v>1337.1000000000001</v>
      </c>
      <c r="Q72" s="39">
        <f t="shared" si="10"/>
        <v>17.12</v>
      </c>
      <c r="R72" s="39">
        <f t="shared" si="11"/>
        <v>5.9426666666666677</v>
      </c>
      <c r="S72" s="128">
        <f t="shared" si="15"/>
        <v>0.83167354870051013</v>
      </c>
      <c r="T72" s="92">
        <f t="shared" si="16"/>
        <v>3888.6</v>
      </c>
      <c r="U72" s="85"/>
      <c r="V72" s="178">
        <f t="shared" si="17"/>
        <v>5.4462222222222225</v>
      </c>
      <c r="W72" s="180">
        <f t="shared" si="18"/>
        <v>0.49644444444444447</v>
      </c>
    </row>
    <row r="73" spans="1:75" s="107" customFormat="1" ht="18.75">
      <c r="A73" s="120">
        <v>6</v>
      </c>
      <c r="B73" s="106">
        <v>189</v>
      </c>
      <c r="C73" s="97">
        <v>1700.9</v>
      </c>
      <c r="D73" s="99">
        <v>376.6</v>
      </c>
      <c r="E73" s="68">
        <v>508.4</v>
      </c>
      <c r="F73" s="66">
        <v>1385.6</v>
      </c>
      <c r="G73" s="66">
        <v>165.6</v>
      </c>
      <c r="H73" s="66"/>
      <c r="I73" s="66"/>
      <c r="J73" s="98">
        <v>217</v>
      </c>
      <c r="K73" s="44">
        <f>1487+115.1</f>
        <v>1602.1</v>
      </c>
      <c r="L73" s="123">
        <f t="shared" si="12"/>
        <v>5956.2</v>
      </c>
      <c r="M73" s="42">
        <v>62.6</v>
      </c>
      <c r="N73" s="138">
        <f t="shared" si="13"/>
        <v>2059.6</v>
      </c>
      <c r="O73" s="125">
        <v>171.6</v>
      </c>
      <c r="P73" s="109">
        <f t="shared" si="14"/>
        <v>2231.1999999999998</v>
      </c>
      <c r="Q73" s="39">
        <f t="shared" si="10"/>
        <v>31.513999999999999</v>
      </c>
      <c r="R73" s="39">
        <f t="shared" si="11"/>
        <v>11.805291005291004</v>
      </c>
      <c r="S73" s="157">
        <f t="shared" si="15"/>
        <v>1.5309205732329365</v>
      </c>
      <c r="T73" s="92">
        <f t="shared" si="16"/>
        <v>6018.8</v>
      </c>
      <c r="U73" s="85"/>
      <c r="V73" s="178">
        <f t="shared" si="17"/>
        <v>10.897354497354497</v>
      </c>
      <c r="W73" s="180">
        <f t="shared" si="18"/>
        <v>0.90793650793650793</v>
      </c>
      <c r="X73" s="80"/>
      <c r="Y73" s="80"/>
      <c r="Z73" s="87"/>
      <c r="AA73" s="87"/>
      <c r="AB73" s="87"/>
      <c r="AC73" s="87"/>
      <c r="AD73" s="87"/>
      <c r="AE73" s="87"/>
      <c r="AF73" s="87"/>
      <c r="AG73" s="87"/>
      <c r="AH73" s="87"/>
      <c r="AI73" s="87"/>
      <c r="AJ73" s="87"/>
      <c r="AK73" s="87"/>
      <c r="AL73" s="87"/>
      <c r="AM73" s="87"/>
      <c r="AN73" s="87"/>
      <c r="AO73" s="87"/>
      <c r="AP73" s="87"/>
      <c r="AQ73" s="87"/>
      <c r="AR73" s="87"/>
      <c r="AS73" s="87"/>
      <c r="AT73" s="87"/>
      <c r="AU73" s="87"/>
      <c r="AV73" s="87"/>
      <c r="AW73" s="87"/>
      <c r="AX73" s="87"/>
      <c r="AY73" s="87"/>
      <c r="AZ73" s="87"/>
      <c r="BA73" s="87"/>
      <c r="BB73" s="87"/>
      <c r="BC73" s="87"/>
      <c r="BD73" s="87"/>
      <c r="BE73" s="87"/>
      <c r="BF73" s="87"/>
      <c r="BG73" s="87"/>
      <c r="BH73" s="87"/>
      <c r="BI73" s="87"/>
      <c r="BJ73" s="87"/>
      <c r="BK73" s="87"/>
      <c r="BL73" s="87"/>
      <c r="BM73" s="87"/>
      <c r="BN73" s="87"/>
      <c r="BO73" s="87"/>
      <c r="BP73" s="87"/>
      <c r="BQ73" s="87"/>
      <c r="BR73" s="87"/>
      <c r="BS73" s="87"/>
      <c r="BT73" s="87"/>
      <c r="BU73" s="87"/>
      <c r="BV73" s="87"/>
      <c r="BW73" s="87"/>
    </row>
    <row r="74" spans="1:75" ht="18.75">
      <c r="A74" s="7" t="s">
        <v>116</v>
      </c>
      <c r="B74" s="89">
        <v>190</v>
      </c>
      <c r="C74" s="6">
        <v>881.7</v>
      </c>
      <c r="D74" s="110">
        <v>195.2</v>
      </c>
      <c r="E74" s="67">
        <v>471.5</v>
      </c>
      <c r="F74" s="64">
        <v>523.1</v>
      </c>
      <c r="G74" s="64">
        <v>66</v>
      </c>
      <c r="H74" s="64"/>
      <c r="I74" s="64"/>
      <c r="J74" s="109">
        <v>154</v>
      </c>
      <c r="K74" s="42">
        <f>1012.5+78.4</f>
        <v>1090.9000000000001</v>
      </c>
      <c r="L74" s="123">
        <f t="shared" si="12"/>
        <v>3382.4</v>
      </c>
      <c r="M74" s="42">
        <v>25.3</v>
      </c>
      <c r="N74" s="138">
        <f t="shared" si="13"/>
        <v>1060.5999999999999</v>
      </c>
      <c r="O74" s="125">
        <v>89.8</v>
      </c>
      <c r="P74" s="109">
        <f t="shared" si="14"/>
        <v>1150.3999999999999</v>
      </c>
      <c r="Q74" s="39">
        <f t="shared" si="10"/>
        <v>17.802</v>
      </c>
      <c r="R74" s="39">
        <f t="shared" si="11"/>
        <v>6.0547368421052621</v>
      </c>
      <c r="S74" s="128">
        <f t="shared" si="15"/>
        <v>0.86480446927374299</v>
      </c>
      <c r="T74" s="92">
        <f t="shared" si="16"/>
        <v>3407.7000000000003</v>
      </c>
      <c r="U74" s="85"/>
      <c r="V74" s="178">
        <f t="shared" si="17"/>
        <v>5.582105263157894</v>
      </c>
      <c r="W74" s="180">
        <f t="shared" si="18"/>
        <v>0.4726315789473684</v>
      </c>
    </row>
    <row r="75" spans="1:75" ht="18.75">
      <c r="A75" s="7" t="s">
        <v>117</v>
      </c>
      <c r="B75" s="89">
        <v>170</v>
      </c>
      <c r="C75" s="6">
        <v>873.9</v>
      </c>
      <c r="D75" s="110">
        <v>193.5</v>
      </c>
      <c r="E75" s="67">
        <v>442</v>
      </c>
      <c r="F75" s="64">
        <v>346.9</v>
      </c>
      <c r="G75" s="64">
        <v>67.2</v>
      </c>
      <c r="H75" s="64"/>
      <c r="I75" s="64"/>
      <c r="J75" s="109">
        <v>154</v>
      </c>
      <c r="K75" s="42">
        <f>756.3+58.6</f>
        <v>814.9</v>
      </c>
      <c r="L75" s="123">
        <f t="shared" si="12"/>
        <v>2892.4</v>
      </c>
      <c r="M75" s="42">
        <v>24.8</v>
      </c>
      <c r="N75" s="138">
        <f t="shared" si="13"/>
        <v>856.1</v>
      </c>
      <c r="O75" s="125">
        <v>101.5</v>
      </c>
      <c r="P75" s="109">
        <f t="shared" si="14"/>
        <v>957.6</v>
      </c>
      <c r="Q75" s="39">
        <f t="shared" si="10"/>
        <v>17.013999999999999</v>
      </c>
      <c r="R75" s="39">
        <f t="shared" si="11"/>
        <v>5.6329411764705881</v>
      </c>
      <c r="S75" s="128">
        <f t="shared" si="15"/>
        <v>0.82652416808355589</v>
      </c>
      <c r="T75" s="92">
        <f t="shared" si="16"/>
        <v>2917.2000000000003</v>
      </c>
      <c r="U75" s="85"/>
      <c r="V75" s="178">
        <f t="shared" si="17"/>
        <v>5.0358823529411767</v>
      </c>
      <c r="W75" s="180">
        <f t="shared" si="18"/>
        <v>0.59705882352941175</v>
      </c>
    </row>
    <row r="76" spans="1:75" ht="18.75">
      <c r="A76" s="7" t="s">
        <v>118</v>
      </c>
      <c r="B76" s="89">
        <v>153</v>
      </c>
      <c r="C76" s="6">
        <v>670.7</v>
      </c>
      <c r="D76" s="110">
        <v>148.5</v>
      </c>
      <c r="E76" s="67">
        <v>278.3</v>
      </c>
      <c r="F76" s="64">
        <v>312.2</v>
      </c>
      <c r="G76" s="64">
        <v>32.5</v>
      </c>
      <c r="H76" s="64"/>
      <c r="I76" s="64"/>
      <c r="J76" s="109">
        <v>150</v>
      </c>
      <c r="K76" s="42">
        <f>723.6+56</f>
        <v>779.6</v>
      </c>
      <c r="L76" s="123">
        <f t="shared" si="12"/>
        <v>2371.8000000000002</v>
      </c>
      <c r="M76" s="42">
        <v>34.9</v>
      </c>
      <c r="N76" s="138">
        <f t="shared" si="13"/>
        <v>623</v>
      </c>
      <c r="O76" s="125">
        <v>106.6</v>
      </c>
      <c r="P76" s="109">
        <f t="shared" si="14"/>
        <v>729.6</v>
      </c>
      <c r="Q76" s="39">
        <f t="shared" si="10"/>
        <v>15.502000000000001</v>
      </c>
      <c r="R76" s="39">
        <f t="shared" si="11"/>
        <v>4.7686274509803921</v>
      </c>
      <c r="S76" s="128">
        <f t="shared" si="15"/>
        <v>0.75307262569832401</v>
      </c>
      <c r="T76" s="92">
        <f t="shared" si="16"/>
        <v>2406.7000000000003</v>
      </c>
      <c r="U76" s="85"/>
      <c r="V76" s="178">
        <f t="shared" si="17"/>
        <v>4.0718954248366011</v>
      </c>
      <c r="W76" s="180">
        <f t="shared" si="18"/>
        <v>0.69673202614379082</v>
      </c>
    </row>
    <row r="77" spans="1:75" ht="18.75">
      <c r="A77" s="7" t="s">
        <v>119</v>
      </c>
      <c r="B77" s="89">
        <v>235</v>
      </c>
      <c r="C77" s="6">
        <v>1038.0999999999999</v>
      </c>
      <c r="D77" s="110">
        <v>229.8</v>
      </c>
      <c r="E77" s="67">
        <v>239</v>
      </c>
      <c r="F77" s="64">
        <v>724.3</v>
      </c>
      <c r="G77" s="64">
        <v>109</v>
      </c>
      <c r="H77" s="64"/>
      <c r="I77" s="64"/>
      <c r="J77" s="109">
        <v>154</v>
      </c>
      <c r="K77" s="42">
        <f>1101.6+85.3</f>
        <v>1186.8999999999999</v>
      </c>
      <c r="L77" s="123">
        <f t="shared" si="12"/>
        <v>3681.1</v>
      </c>
      <c r="M77" s="42">
        <v>34</v>
      </c>
      <c r="N77" s="138">
        <f t="shared" si="13"/>
        <v>1072.3</v>
      </c>
      <c r="O77" s="125">
        <v>114.3</v>
      </c>
      <c r="P77" s="109">
        <f t="shared" si="14"/>
        <v>1186.5999999999999</v>
      </c>
      <c r="Q77" s="39">
        <f t="shared" si="10"/>
        <v>15.664</v>
      </c>
      <c r="R77" s="39">
        <f t="shared" si="11"/>
        <v>5.0493617021276593</v>
      </c>
      <c r="S77" s="128">
        <f t="shared" si="15"/>
        <v>0.76094243381102744</v>
      </c>
      <c r="T77" s="92">
        <f t="shared" si="16"/>
        <v>3715.1</v>
      </c>
      <c r="U77" s="85"/>
      <c r="V77" s="178">
        <f t="shared" si="17"/>
        <v>4.5629787234042549</v>
      </c>
      <c r="W77" s="180">
        <f t="shared" si="18"/>
        <v>0.48638297872340425</v>
      </c>
    </row>
    <row r="78" spans="1:75" s="107" customFormat="1" ht="18.75">
      <c r="A78" s="120">
        <v>50</v>
      </c>
      <c r="B78" s="106">
        <v>269</v>
      </c>
      <c r="C78" s="97">
        <v>1489.9</v>
      </c>
      <c r="D78" s="99">
        <v>329.9</v>
      </c>
      <c r="E78" s="68">
        <v>548.79999999999995</v>
      </c>
      <c r="F78" s="66">
        <v>780</v>
      </c>
      <c r="G78" s="66">
        <v>102.9</v>
      </c>
      <c r="H78" s="66">
        <v>27.6</v>
      </c>
      <c r="I78" s="66"/>
      <c r="J78" s="98">
        <v>203</v>
      </c>
      <c r="K78" s="44">
        <f>1229+95.1</f>
        <v>1324.1</v>
      </c>
      <c r="L78" s="123">
        <f t="shared" si="12"/>
        <v>4806.2</v>
      </c>
      <c r="M78" s="42">
        <v>42.4</v>
      </c>
      <c r="N78" s="138">
        <f t="shared" si="13"/>
        <v>1459.3</v>
      </c>
      <c r="O78" s="125">
        <v>165</v>
      </c>
      <c r="P78" s="109">
        <f t="shared" si="14"/>
        <v>1624.3</v>
      </c>
      <c r="Q78" s="39">
        <f t="shared" si="10"/>
        <v>17.867000000000001</v>
      </c>
      <c r="R78" s="39">
        <f t="shared" si="11"/>
        <v>6.0382899628252789</v>
      </c>
      <c r="S78" s="128">
        <f t="shared" si="15"/>
        <v>0.86796210833130927</v>
      </c>
      <c r="T78" s="92">
        <f t="shared" si="16"/>
        <v>4848.5999999999995</v>
      </c>
      <c r="U78" s="85"/>
      <c r="V78" s="178">
        <f t="shared" si="17"/>
        <v>5.4249070631970255</v>
      </c>
      <c r="W78" s="180">
        <f t="shared" si="18"/>
        <v>0.61338289962825276</v>
      </c>
      <c r="X78" s="80"/>
      <c r="Y78" s="80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  <c r="BU78" s="87"/>
      <c r="BV78" s="87"/>
      <c r="BW78" s="87"/>
    </row>
    <row r="79" spans="1:75" ht="18.75">
      <c r="A79" s="7" t="s">
        <v>120</v>
      </c>
      <c r="B79" s="89">
        <v>191</v>
      </c>
      <c r="C79" s="6">
        <v>928.6</v>
      </c>
      <c r="D79" s="110">
        <v>205.6</v>
      </c>
      <c r="E79" s="67">
        <v>630.79999999999995</v>
      </c>
      <c r="F79" s="64">
        <v>381.6</v>
      </c>
      <c r="G79" s="64">
        <v>68.400000000000006</v>
      </c>
      <c r="H79" s="64"/>
      <c r="I79" s="64"/>
      <c r="J79" s="109">
        <v>154</v>
      </c>
      <c r="K79" s="42">
        <f>874.4+67.8</f>
        <v>942.19999999999993</v>
      </c>
      <c r="L79" s="123">
        <f t="shared" si="12"/>
        <v>3311.2</v>
      </c>
      <c r="M79" s="42">
        <v>25.7</v>
      </c>
      <c r="N79" s="138">
        <f t="shared" si="13"/>
        <v>1080.8</v>
      </c>
      <c r="O79" s="125">
        <v>116.1</v>
      </c>
      <c r="P79" s="109">
        <f t="shared" si="14"/>
        <v>1196.8999999999999</v>
      </c>
      <c r="Q79" s="39">
        <f t="shared" si="10"/>
        <v>17.335999999999999</v>
      </c>
      <c r="R79" s="39">
        <f t="shared" si="11"/>
        <v>6.2664921465968577</v>
      </c>
      <c r="S79" s="128">
        <f t="shared" si="15"/>
        <v>0.84216662618411453</v>
      </c>
      <c r="T79" s="92">
        <f t="shared" si="16"/>
        <v>3336.8999999999996</v>
      </c>
      <c r="U79" s="85"/>
      <c r="V79" s="178">
        <f t="shared" si="17"/>
        <v>5.658638743455497</v>
      </c>
      <c r="W79" s="180">
        <f t="shared" si="18"/>
        <v>0.60785340314136127</v>
      </c>
    </row>
    <row r="80" spans="1:75" ht="18.75">
      <c r="A80" s="7" t="s">
        <v>121</v>
      </c>
      <c r="B80" s="89">
        <v>201</v>
      </c>
      <c r="C80" s="6">
        <v>1030.3</v>
      </c>
      <c r="D80" s="110">
        <v>228.1</v>
      </c>
      <c r="E80" s="67">
        <v>456</v>
      </c>
      <c r="F80" s="64">
        <v>312.2</v>
      </c>
      <c r="G80" s="64">
        <v>83</v>
      </c>
      <c r="H80" s="64"/>
      <c r="I80" s="64"/>
      <c r="J80" s="109">
        <v>154</v>
      </c>
      <c r="K80" s="42">
        <f>952.6+73.7</f>
        <v>1026.3</v>
      </c>
      <c r="L80" s="123">
        <f t="shared" si="12"/>
        <v>3289.9</v>
      </c>
      <c r="M80" s="42">
        <v>30.4</v>
      </c>
      <c r="N80" s="138">
        <f t="shared" si="13"/>
        <v>851.2</v>
      </c>
      <c r="O80" s="125">
        <v>109.4</v>
      </c>
      <c r="P80" s="109">
        <f t="shared" si="14"/>
        <v>960.6</v>
      </c>
      <c r="Q80" s="39">
        <f t="shared" si="10"/>
        <v>16.367999999999999</v>
      </c>
      <c r="R80" s="39">
        <f t="shared" si="11"/>
        <v>4.7791044776119405</v>
      </c>
      <c r="S80" s="128">
        <f t="shared" si="15"/>
        <v>0.79514209375759037</v>
      </c>
      <c r="T80" s="92">
        <f t="shared" si="16"/>
        <v>3320.3</v>
      </c>
      <c r="U80" s="85"/>
      <c r="V80" s="178">
        <f t="shared" si="17"/>
        <v>4.2348258706467661</v>
      </c>
      <c r="W80" s="180">
        <f t="shared" si="18"/>
        <v>0.54427860696517416</v>
      </c>
    </row>
    <row r="81" spans="1:75" s="107" customFormat="1" ht="18.75">
      <c r="A81" s="120">
        <v>91</v>
      </c>
      <c r="B81" s="106">
        <v>243</v>
      </c>
      <c r="C81" s="97">
        <v>1411.7</v>
      </c>
      <c r="D81" s="99">
        <v>312.60000000000002</v>
      </c>
      <c r="E81" s="68">
        <v>465</v>
      </c>
      <c r="F81" s="66">
        <f>709.1+91.9</f>
        <v>801</v>
      </c>
      <c r="G81" s="66">
        <v>72</v>
      </c>
      <c r="H81" s="66"/>
      <c r="I81" s="66"/>
      <c r="J81" s="98">
        <v>208</v>
      </c>
      <c r="K81" s="44">
        <f>1196.2+92.5</f>
        <v>1288.7</v>
      </c>
      <c r="L81" s="123">
        <f t="shared" si="12"/>
        <v>4559</v>
      </c>
      <c r="M81" s="42">
        <v>52.1</v>
      </c>
      <c r="N81" s="138">
        <f t="shared" si="13"/>
        <v>1338</v>
      </c>
      <c r="O81" s="125">
        <v>177.4</v>
      </c>
      <c r="P81" s="109">
        <f t="shared" si="14"/>
        <v>1515.4</v>
      </c>
      <c r="Q81" s="39">
        <f t="shared" si="10"/>
        <v>18.760999999999999</v>
      </c>
      <c r="R81" s="39">
        <f t="shared" si="11"/>
        <v>6.2362139917695476</v>
      </c>
      <c r="S81" s="128">
        <f t="shared" si="15"/>
        <v>0.91139179013845029</v>
      </c>
      <c r="T81" s="92">
        <f t="shared" si="16"/>
        <v>4611.1000000000004</v>
      </c>
      <c r="U81" s="85"/>
      <c r="V81" s="178">
        <f t="shared" si="17"/>
        <v>5.5061728395061724</v>
      </c>
      <c r="W81" s="180">
        <f t="shared" si="18"/>
        <v>0.73004115226337452</v>
      </c>
      <c r="X81" s="80"/>
      <c r="Y81" s="80"/>
      <c r="Z81" s="87"/>
      <c r="AA81" s="87"/>
      <c r="AB81" s="87"/>
      <c r="AC81" s="87"/>
      <c r="AD81" s="87"/>
      <c r="AE81" s="87"/>
      <c r="AF81" s="87"/>
      <c r="AG81" s="87"/>
      <c r="AH81" s="87"/>
      <c r="AI81" s="87"/>
      <c r="AJ81" s="87"/>
      <c r="AK81" s="87"/>
      <c r="AL81" s="87"/>
      <c r="AM81" s="87"/>
      <c r="AN81" s="87"/>
      <c r="AO81" s="87"/>
      <c r="AP81" s="87"/>
      <c r="AQ81" s="87"/>
      <c r="AR81" s="87"/>
      <c r="AS81" s="87"/>
      <c r="AT81" s="87"/>
      <c r="AU81" s="87"/>
      <c r="AV81" s="87"/>
      <c r="AW81" s="87"/>
      <c r="AX81" s="87"/>
      <c r="AY81" s="87"/>
      <c r="AZ81" s="87"/>
      <c r="BA81" s="87"/>
      <c r="BB81" s="87"/>
      <c r="BC81" s="87"/>
      <c r="BD81" s="87"/>
      <c r="BE81" s="87"/>
      <c r="BF81" s="87"/>
      <c r="BG81" s="87"/>
      <c r="BH81" s="87"/>
      <c r="BI81" s="87"/>
      <c r="BJ81" s="87"/>
      <c r="BK81" s="87"/>
      <c r="BL81" s="87"/>
      <c r="BM81" s="87"/>
      <c r="BN81" s="87"/>
      <c r="BO81" s="87"/>
      <c r="BP81" s="87"/>
      <c r="BQ81" s="87"/>
      <c r="BR81" s="87"/>
      <c r="BS81" s="87"/>
      <c r="BT81" s="87"/>
      <c r="BU81" s="87"/>
      <c r="BV81" s="87"/>
      <c r="BW81" s="87"/>
    </row>
    <row r="82" spans="1:75" ht="18.75">
      <c r="A82" s="7" t="s">
        <v>122</v>
      </c>
      <c r="B82" s="89">
        <v>182</v>
      </c>
      <c r="C82" s="6">
        <v>873.9</v>
      </c>
      <c r="D82" s="110">
        <v>193.5</v>
      </c>
      <c r="E82" s="67">
        <v>350.4</v>
      </c>
      <c r="F82" s="64">
        <v>530</v>
      </c>
      <c r="G82" s="64">
        <v>138.6</v>
      </c>
      <c r="H82" s="64"/>
      <c r="I82" s="64"/>
      <c r="J82" s="109">
        <v>154</v>
      </c>
      <c r="K82" s="42">
        <f>761.7+59</f>
        <v>820.7</v>
      </c>
      <c r="L82" s="123">
        <f t="shared" si="12"/>
        <v>3061.1</v>
      </c>
      <c r="M82" s="42">
        <v>45.6</v>
      </c>
      <c r="N82" s="138">
        <f t="shared" si="13"/>
        <v>1019</v>
      </c>
      <c r="O82" s="125">
        <v>125</v>
      </c>
      <c r="P82" s="109">
        <f t="shared" si="14"/>
        <v>1144</v>
      </c>
      <c r="Q82" s="39">
        <f t="shared" si="10"/>
        <v>16.818999999999999</v>
      </c>
      <c r="R82" s="39">
        <f t="shared" si="11"/>
        <v>6.2857142857142856</v>
      </c>
      <c r="S82" s="128">
        <f t="shared" si="15"/>
        <v>0.8170512509108574</v>
      </c>
      <c r="T82" s="92">
        <f t="shared" si="16"/>
        <v>3106.7</v>
      </c>
      <c r="U82" s="85"/>
      <c r="V82" s="178">
        <f t="shared" si="17"/>
        <v>5.5989010989010985</v>
      </c>
      <c r="W82" s="180">
        <f t="shared" si="18"/>
        <v>0.68681318681318682</v>
      </c>
    </row>
    <row r="83" spans="1:75" ht="18.75">
      <c r="A83" s="7" t="s">
        <v>123</v>
      </c>
      <c r="B83" s="89">
        <v>495</v>
      </c>
      <c r="C83" s="6">
        <v>1810.4</v>
      </c>
      <c r="D83" s="110">
        <v>400.8</v>
      </c>
      <c r="E83" s="67">
        <v>723.7</v>
      </c>
      <c r="F83" s="64">
        <v>1812.6</v>
      </c>
      <c r="G83" s="64">
        <v>235.6</v>
      </c>
      <c r="H83" s="64"/>
      <c r="I83" s="64"/>
      <c r="J83" s="109">
        <v>259.60000000000002</v>
      </c>
      <c r="K83" s="42">
        <f>2303.3+178.3</f>
        <v>2481.6000000000004</v>
      </c>
      <c r="L83" s="123">
        <f t="shared" si="12"/>
        <v>7724.3</v>
      </c>
      <c r="M83" s="42">
        <v>76.7</v>
      </c>
      <c r="N83" s="138">
        <f t="shared" si="13"/>
        <v>2771.9</v>
      </c>
      <c r="O83" s="125">
        <v>189.7</v>
      </c>
      <c r="P83" s="109">
        <f t="shared" si="14"/>
        <v>2961.6</v>
      </c>
      <c r="Q83" s="39">
        <f t="shared" si="10"/>
        <v>15.605</v>
      </c>
      <c r="R83" s="39">
        <f t="shared" si="11"/>
        <v>5.9830303030303025</v>
      </c>
      <c r="S83" s="128">
        <f t="shared" si="15"/>
        <v>0.75807626912800585</v>
      </c>
      <c r="T83" s="92">
        <f t="shared" si="16"/>
        <v>7801</v>
      </c>
      <c r="U83" s="85"/>
      <c r="V83" s="178">
        <f t="shared" si="17"/>
        <v>5.5997979797979802</v>
      </c>
      <c r="W83" s="180">
        <f t="shared" si="18"/>
        <v>0.3832323232323232</v>
      </c>
    </row>
    <row r="84" spans="1:75" ht="18.75">
      <c r="A84" s="7" t="s">
        <v>124</v>
      </c>
      <c r="B84" s="89">
        <v>185</v>
      </c>
      <c r="C84" s="6">
        <v>905.2</v>
      </c>
      <c r="D84" s="110">
        <v>200.4</v>
      </c>
      <c r="E84" s="67">
        <v>615.6</v>
      </c>
      <c r="F84" s="64">
        <v>468.3</v>
      </c>
      <c r="G84" s="64">
        <v>70.900000000000006</v>
      </c>
      <c r="H84" s="64"/>
      <c r="I84" s="64"/>
      <c r="J84" s="109">
        <v>154</v>
      </c>
      <c r="K84" s="42">
        <f>790.7+61.3</f>
        <v>852</v>
      </c>
      <c r="L84" s="123">
        <f t="shared" si="12"/>
        <v>3266.4</v>
      </c>
      <c r="M84" s="42">
        <v>26.2</v>
      </c>
      <c r="N84" s="138">
        <f t="shared" si="13"/>
        <v>1154.8000000000002</v>
      </c>
      <c r="O84" s="125">
        <v>126</v>
      </c>
      <c r="P84" s="109">
        <f t="shared" si="14"/>
        <v>1280.8000000000002</v>
      </c>
      <c r="Q84" s="39">
        <f t="shared" si="10"/>
        <v>17.655999999999999</v>
      </c>
      <c r="R84" s="39">
        <f t="shared" si="11"/>
        <v>6.9232432432432445</v>
      </c>
      <c r="S84" s="128">
        <f t="shared" si="15"/>
        <v>0.85771192615982506</v>
      </c>
      <c r="T84" s="92">
        <f t="shared" si="16"/>
        <v>3292.6</v>
      </c>
      <c r="U84" s="85"/>
      <c r="V84" s="178">
        <f t="shared" si="17"/>
        <v>6.2421621621621632</v>
      </c>
      <c r="W84" s="180">
        <f t="shared" si="18"/>
        <v>0.68108108108108112</v>
      </c>
    </row>
    <row r="85" spans="1:75" ht="18.75">
      <c r="A85" s="7" t="s">
        <v>125</v>
      </c>
      <c r="B85" s="89">
        <v>197</v>
      </c>
      <c r="C85" s="6">
        <v>952.1</v>
      </c>
      <c r="D85" s="110">
        <v>210.8</v>
      </c>
      <c r="E85" s="67">
        <v>523.9</v>
      </c>
      <c r="F85" s="64">
        <v>398.9</v>
      </c>
      <c r="G85" s="64">
        <v>70.900000000000006</v>
      </c>
      <c r="H85" s="64"/>
      <c r="I85" s="64"/>
      <c r="J85" s="109">
        <v>154</v>
      </c>
      <c r="K85" s="42">
        <f>1032.5+80</f>
        <v>1112.5</v>
      </c>
      <c r="L85" s="123">
        <f t="shared" si="12"/>
        <v>3423.1</v>
      </c>
      <c r="M85" s="42">
        <v>25.2</v>
      </c>
      <c r="N85" s="138">
        <f t="shared" si="13"/>
        <v>993.69999999999993</v>
      </c>
      <c r="O85" s="125">
        <v>117.8</v>
      </c>
      <c r="P85" s="109">
        <f t="shared" si="14"/>
        <v>1111.5</v>
      </c>
      <c r="Q85" s="39">
        <f t="shared" si="10"/>
        <v>17.376000000000001</v>
      </c>
      <c r="R85" s="39">
        <f t="shared" si="11"/>
        <v>5.6421319796954315</v>
      </c>
      <c r="S85" s="128">
        <f t="shared" si="15"/>
        <v>0.84410978868107844</v>
      </c>
      <c r="T85" s="92">
        <f t="shared" si="16"/>
        <v>3448.2999999999997</v>
      </c>
      <c r="U85" s="85"/>
      <c r="V85" s="178">
        <f t="shared" si="17"/>
        <v>5.0441624365482234</v>
      </c>
      <c r="W85" s="180">
        <f t="shared" si="18"/>
        <v>0.59796954314720807</v>
      </c>
    </row>
    <row r="86" spans="1:75" ht="18.75">
      <c r="A86" s="7" t="s">
        <v>126</v>
      </c>
      <c r="B86" s="89">
        <v>417</v>
      </c>
      <c r="C86" s="6">
        <v>1724.4</v>
      </c>
      <c r="D86" s="110">
        <v>381.8</v>
      </c>
      <c r="E86" s="67">
        <v>607.5</v>
      </c>
      <c r="F86" s="64">
        <v>1419</v>
      </c>
      <c r="G86" s="64">
        <v>162.5</v>
      </c>
      <c r="H86" s="64"/>
      <c r="I86" s="64"/>
      <c r="J86" s="109">
        <v>239</v>
      </c>
      <c r="K86" s="42">
        <f>1961.5+151.9</f>
        <v>2113.4</v>
      </c>
      <c r="L86" s="123">
        <f t="shared" si="12"/>
        <v>6647.6</v>
      </c>
      <c r="M86" s="42">
        <v>27.6</v>
      </c>
      <c r="N86" s="138">
        <f t="shared" si="13"/>
        <v>2189</v>
      </c>
      <c r="O86" s="125">
        <v>203</v>
      </c>
      <c r="P86" s="109">
        <f t="shared" si="14"/>
        <v>2392</v>
      </c>
      <c r="Q86" s="39">
        <f t="shared" si="10"/>
        <v>15.941000000000001</v>
      </c>
      <c r="R86" s="39">
        <f t="shared" si="11"/>
        <v>5.7362110311750598</v>
      </c>
      <c r="S86" s="128">
        <f t="shared" si="15"/>
        <v>0.77439883410250188</v>
      </c>
      <c r="T86" s="92">
        <f t="shared" si="16"/>
        <v>6675.2000000000007</v>
      </c>
      <c r="U86" s="85"/>
      <c r="V86" s="178">
        <f t="shared" si="17"/>
        <v>5.2494004796163072</v>
      </c>
      <c r="W86" s="180">
        <f t="shared" si="18"/>
        <v>0.48681055155875302</v>
      </c>
    </row>
    <row r="87" spans="1:75" ht="18.75">
      <c r="A87" s="7" t="s">
        <v>127</v>
      </c>
      <c r="B87" s="89">
        <v>286</v>
      </c>
      <c r="C87" s="6">
        <v>1599.3</v>
      </c>
      <c r="D87" s="110">
        <v>354.1</v>
      </c>
      <c r="E87" s="67">
        <v>632.29999999999995</v>
      </c>
      <c r="F87" s="64">
        <v>640.79999999999995</v>
      </c>
      <c r="G87" s="64">
        <v>98.1</v>
      </c>
      <c r="H87" s="64"/>
      <c r="I87" s="64"/>
      <c r="J87" s="109">
        <v>203</v>
      </c>
      <c r="K87" s="42">
        <f>1343.5+104</f>
        <v>1447.5</v>
      </c>
      <c r="L87" s="123">
        <f t="shared" si="12"/>
        <v>4975.1000000000004</v>
      </c>
      <c r="M87" s="42">
        <v>32.9</v>
      </c>
      <c r="N87" s="138">
        <f t="shared" si="13"/>
        <v>1371.1999999999998</v>
      </c>
      <c r="O87" s="125">
        <v>144.4</v>
      </c>
      <c r="P87" s="109">
        <f t="shared" si="14"/>
        <v>1515.6</v>
      </c>
      <c r="Q87" s="39">
        <f t="shared" si="10"/>
        <v>17.395</v>
      </c>
      <c r="R87" s="39">
        <f t="shared" si="11"/>
        <v>5.2993006993006988</v>
      </c>
      <c r="S87" s="128">
        <f t="shared" si="15"/>
        <v>0.84503279086713623</v>
      </c>
      <c r="T87" s="92">
        <f t="shared" si="16"/>
        <v>5008</v>
      </c>
      <c r="U87" s="85"/>
      <c r="V87" s="178">
        <f t="shared" si="17"/>
        <v>4.7944055944055934</v>
      </c>
      <c r="W87" s="180">
        <f t="shared" si="18"/>
        <v>0.50489510489510492</v>
      </c>
    </row>
    <row r="88" spans="1:75" ht="18.75">
      <c r="A88" s="7" t="s">
        <v>128</v>
      </c>
      <c r="B88" s="89">
        <v>223</v>
      </c>
      <c r="C88" s="6">
        <v>991.2</v>
      </c>
      <c r="D88" s="110">
        <v>219.5</v>
      </c>
      <c r="E88" s="67">
        <v>419.1</v>
      </c>
      <c r="F88" s="64">
        <v>890.3</v>
      </c>
      <c r="G88" s="64">
        <v>71.2</v>
      </c>
      <c r="H88" s="64"/>
      <c r="I88" s="64"/>
      <c r="J88" s="109">
        <v>154</v>
      </c>
      <c r="K88" s="42">
        <f>1208.9+93.6</f>
        <v>1302.5</v>
      </c>
      <c r="L88" s="123">
        <f t="shared" si="12"/>
        <v>4047.8</v>
      </c>
      <c r="M88" s="42">
        <v>49</v>
      </c>
      <c r="N88" s="138">
        <f t="shared" si="13"/>
        <v>1380.6000000000001</v>
      </c>
      <c r="O88" s="125">
        <v>116.4</v>
      </c>
      <c r="P88" s="109">
        <f t="shared" si="14"/>
        <v>1497.0000000000002</v>
      </c>
      <c r="Q88" s="39">
        <f t="shared" si="10"/>
        <v>18.152000000000001</v>
      </c>
      <c r="R88" s="39">
        <f t="shared" si="11"/>
        <v>6.7130044843049337</v>
      </c>
      <c r="S88" s="128">
        <f t="shared" si="15"/>
        <v>0.8818071411221764</v>
      </c>
      <c r="T88" s="92">
        <f t="shared" si="16"/>
        <v>4096.8</v>
      </c>
      <c r="U88" s="85"/>
      <c r="V88" s="178">
        <f t="shared" si="17"/>
        <v>6.1910313901345297</v>
      </c>
      <c r="W88" s="180">
        <f t="shared" si="18"/>
        <v>0.52197309417040361</v>
      </c>
    </row>
    <row r="89" spans="1:75" ht="18.75">
      <c r="A89" s="7" t="s">
        <v>129</v>
      </c>
      <c r="B89" s="89">
        <v>113</v>
      </c>
      <c r="C89" s="42">
        <v>741</v>
      </c>
      <c r="D89" s="42">
        <v>164.1</v>
      </c>
      <c r="E89" s="67">
        <v>393</v>
      </c>
      <c r="F89" s="64">
        <v>433.7</v>
      </c>
      <c r="G89" s="64">
        <v>74.599999999999994</v>
      </c>
      <c r="H89" s="64"/>
      <c r="I89" s="64"/>
      <c r="J89" s="109">
        <v>130</v>
      </c>
      <c r="K89" s="42">
        <f>485.4+37.6</f>
        <v>523</v>
      </c>
      <c r="L89" s="123">
        <f t="shared" si="12"/>
        <v>2459.4</v>
      </c>
      <c r="M89" s="42">
        <v>27</v>
      </c>
      <c r="N89" s="138">
        <f t="shared" si="13"/>
        <v>901.30000000000007</v>
      </c>
      <c r="O89" s="125">
        <v>95.2</v>
      </c>
      <c r="P89" s="109">
        <f t="shared" si="14"/>
        <v>996.50000000000011</v>
      </c>
      <c r="Q89" s="39">
        <f t="shared" si="10"/>
        <v>21.765000000000001</v>
      </c>
      <c r="R89" s="39">
        <f t="shared" si="11"/>
        <v>8.8185840707964616</v>
      </c>
      <c r="S89" s="157">
        <f t="shared" si="15"/>
        <v>1.0573232936604324</v>
      </c>
      <c r="T89" s="92">
        <f t="shared" si="16"/>
        <v>2486.4</v>
      </c>
      <c r="U89" s="85"/>
      <c r="V89" s="178">
        <f t="shared" si="17"/>
        <v>7.9761061946902663</v>
      </c>
      <c r="W89" s="180">
        <f t="shared" si="18"/>
        <v>0.84247787610619473</v>
      </c>
    </row>
    <row r="90" spans="1:75" ht="18.75">
      <c r="A90" s="7" t="s">
        <v>130</v>
      </c>
      <c r="B90" s="89">
        <v>358</v>
      </c>
      <c r="C90" s="42">
        <v>1358.6</v>
      </c>
      <c r="D90" s="42">
        <v>300.8</v>
      </c>
      <c r="E90" s="67">
        <v>609</v>
      </c>
      <c r="F90" s="64">
        <f>1131.3+139.7</f>
        <v>1271</v>
      </c>
      <c r="G90" s="64">
        <v>182.4</v>
      </c>
      <c r="H90" s="64"/>
      <c r="I90" s="64"/>
      <c r="J90" s="109">
        <v>199</v>
      </c>
      <c r="K90" s="42">
        <f>1577.9+122.2</f>
        <v>1700.1000000000001</v>
      </c>
      <c r="L90" s="123">
        <f t="shared" si="12"/>
        <v>5620.9</v>
      </c>
      <c r="M90" s="42">
        <v>50</v>
      </c>
      <c r="N90" s="138">
        <f t="shared" si="13"/>
        <v>2062.4</v>
      </c>
      <c r="O90" s="125">
        <v>124.4</v>
      </c>
      <c r="P90" s="109">
        <f t="shared" si="14"/>
        <v>2186.8000000000002</v>
      </c>
      <c r="Q90" s="39">
        <f t="shared" si="10"/>
        <v>15.701000000000001</v>
      </c>
      <c r="R90" s="39">
        <f t="shared" si="11"/>
        <v>6.108379888268157</v>
      </c>
      <c r="S90" s="128">
        <f t="shared" si="15"/>
        <v>0.76273985912071895</v>
      </c>
      <c r="T90" s="92">
        <f t="shared" si="16"/>
        <v>5670.9</v>
      </c>
      <c r="U90" s="85"/>
      <c r="V90" s="178">
        <f t="shared" si="17"/>
        <v>5.7608938547486037</v>
      </c>
      <c r="W90" s="180">
        <f t="shared" si="18"/>
        <v>0.34748603351955309</v>
      </c>
    </row>
    <row r="91" spans="1:75" ht="18.75">
      <c r="A91" s="7" t="s">
        <v>131</v>
      </c>
      <c r="B91" s="89">
        <v>488</v>
      </c>
      <c r="C91" s="42">
        <v>1600.9</v>
      </c>
      <c r="D91" s="42">
        <v>354.5</v>
      </c>
      <c r="E91" s="67">
        <v>886.9</v>
      </c>
      <c r="F91" s="64">
        <f>1854.2+253.6</f>
        <v>2107.8000000000002</v>
      </c>
      <c r="G91" s="64">
        <v>361.4</v>
      </c>
      <c r="H91" s="64"/>
      <c r="I91" s="64"/>
      <c r="J91" s="109">
        <v>240</v>
      </c>
      <c r="K91" s="42">
        <f>2176.1+168.5</f>
        <v>2344.6</v>
      </c>
      <c r="L91" s="123">
        <f t="shared" si="12"/>
        <v>7896.1</v>
      </c>
      <c r="M91" s="42">
        <v>78.7</v>
      </c>
      <c r="N91" s="138">
        <f t="shared" si="13"/>
        <v>3356.1000000000004</v>
      </c>
      <c r="O91" s="125">
        <v>151</v>
      </c>
      <c r="P91" s="109">
        <f t="shared" si="14"/>
        <v>3507.1000000000004</v>
      </c>
      <c r="Q91" s="155">
        <f t="shared" si="10"/>
        <v>16.181000000000001</v>
      </c>
      <c r="R91" s="39">
        <f t="shared" si="11"/>
        <v>7.1866803278688529</v>
      </c>
      <c r="S91" s="128">
        <f t="shared" si="15"/>
        <v>0.78605780908428469</v>
      </c>
      <c r="T91" s="154">
        <f t="shared" si="16"/>
        <v>7974.8</v>
      </c>
      <c r="U91" s="85"/>
      <c r="V91" s="178">
        <f t="shared" si="17"/>
        <v>6.8772540983606563</v>
      </c>
      <c r="W91" s="180">
        <f t="shared" si="18"/>
        <v>0.3094262295081967</v>
      </c>
    </row>
    <row r="92" spans="1:75" s="107" customFormat="1" ht="18.75">
      <c r="A92" s="120">
        <v>16</v>
      </c>
      <c r="B92" s="106">
        <v>327</v>
      </c>
      <c r="C92" s="42">
        <v>1171</v>
      </c>
      <c r="D92" s="42">
        <v>259.3</v>
      </c>
      <c r="E92" s="68">
        <v>505.5</v>
      </c>
      <c r="F92" s="66">
        <f>1157.1+149.4</f>
        <v>1306.5</v>
      </c>
      <c r="G92" s="66">
        <v>119.7</v>
      </c>
      <c r="H92" s="66"/>
      <c r="I92" s="66"/>
      <c r="J92" s="98">
        <v>177</v>
      </c>
      <c r="K92" s="44">
        <f>1659.8+128.5</f>
        <v>1788.3</v>
      </c>
      <c r="L92" s="123">
        <f t="shared" si="12"/>
        <v>5327.3</v>
      </c>
      <c r="M92" s="42">
        <v>57.4</v>
      </c>
      <c r="N92" s="138">
        <f t="shared" si="13"/>
        <v>1931.7</v>
      </c>
      <c r="O92" s="125">
        <v>148.5</v>
      </c>
      <c r="P92" s="109">
        <f t="shared" si="14"/>
        <v>2080.1999999999998</v>
      </c>
      <c r="Q92" s="39">
        <f t="shared" si="10"/>
        <v>16.291</v>
      </c>
      <c r="R92" s="39">
        <f t="shared" si="11"/>
        <v>6.3614678899082566</v>
      </c>
      <c r="S92" s="128">
        <f t="shared" si="15"/>
        <v>0.79140150595093517</v>
      </c>
      <c r="T92" s="92">
        <f t="shared" si="16"/>
        <v>5384.7</v>
      </c>
      <c r="U92" s="85"/>
      <c r="V92" s="178">
        <f t="shared" si="17"/>
        <v>5.9073394495412845</v>
      </c>
      <c r="W92" s="180">
        <f t="shared" si="18"/>
        <v>0.45412844036697247</v>
      </c>
      <c r="X92" s="80"/>
      <c r="Y92" s="80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  <c r="BU92" s="87"/>
      <c r="BV92" s="87"/>
      <c r="BW92" s="87"/>
    </row>
    <row r="93" spans="1:75" ht="18.75">
      <c r="A93" s="7" t="s">
        <v>132</v>
      </c>
      <c r="B93" s="89">
        <v>365</v>
      </c>
      <c r="C93" s="42">
        <v>1311.7</v>
      </c>
      <c r="D93" s="42">
        <v>290.39999999999998</v>
      </c>
      <c r="E93" s="67">
        <v>492.8</v>
      </c>
      <c r="F93" s="64">
        <f>961.1+116.3</f>
        <v>1077.4000000000001</v>
      </c>
      <c r="G93" s="64">
        <v>231.9</v>
      </c>
      <c r="H93" s="64"/>
      <c r="I93" s="64"/>
      <c r="J93" s="109">
        <v>199</v>
      </c>
      <c r="K93" s="42">
        <f>1719.8+133.1</f>
        <v>1852.8999999999999</v>
      </c>
      <c r="L93" s="123">
        <f t="shared" si="12"/>
        <v>5456.1</v>
      </c>
      <c r="M93" s="42">
        <v>52.1</v>
      </c>
      <c r="N93" s="138">
        <f t="shared" si="13"/>
        <v>1802.1000000000001</v>
      </c>
      <c r="O93" s="125">
        <v>111.7</v>
      </c>
      <c r="P93" s="109">
        <f t="shared" si="14"/>
        <v>1913.8000000000002</v>
      </c>
      <c r="Q93" s="39">
        <f t="shared" si="10"/>
        <v>14.948</v>
      </c>
      <c r="R93" s="39">
        <f t="shared" si="11"/>
        <v>5.2432876712328769</v>
      </c>
      <c r="S93" s="128">
        <f t="shared" si="15"/>
        <v>0.72615982511537525</v>
      </c>
      <c r="T93" s="92">
        <f t="shared" si="16"/>
        <v>5508.2000000000007</v>
      </c>
      <c r="U93" s="85"/>
      <c r="V93" s="178">
        <f t="shared" si="17"/>
        <v>4.937260273972603</v>
      </c>
      <c r="W93" s="180">
        <f t="shared" si="18"/>
        <v>0.306027397260274</v>
      </c>
    </row>
    <row r="94" spans="1:75" ht="18.75">
      <c r="A94" s="7" t="s">
        <v>133</v>
      </c>
      <c r="B94" s="89">
        <v>393</v>
      </c>
      <c r="C94" s="42">
        <v>1288.2</v>
      </c>
      <c r="D94" s="42">
        <v>285.2</v>
      </c>
      <c r="E94" s="67">
        <v>583.5</v>
      </c>
      <c r="F94" s="64">
        <f>1191+167.1</f>
        <v>1358.1</v>
      </c>
      <c r="G94" s="64">
        <v>184.3</v>
      </c>
      <c r="H94" s="64"/>
      <c r="I94" s="64"/>
      <c r="J94" s="109">
        <v>199</v>
      </c>
      <c r="K94" s="42">
        <f>1687.1+130.7</f>
        <v>1817.8</v>
      </c>
      <c r="L94" s="123">
        <f t="shared" si="12"/>
        <v>5716.1</v>
      </c>
      <c r="M94" s="42">
        <v>63.5</v>
      </c>
      <c r="N94" s="138">
        <f t="shared" si="13"/>
        <v>2125.9</v>
      </c>
      <c r="O94" s="125">
        <v>138.9</v>
      </c>
      <c r="P94" s="109">
        <f t="shared" si="14"/>
        <v>2264.8000000000002</v>
      </c>
      <c r="Q94" s="39">
        <f t="shared" si="10"/>
        <v>14.545</v>
      </c>
      <c r="R94" s="39">
        <f t="shared" si="11"/>
        <v>5.7628498727735371</v>
      </c>
      <c r="S94" s="128">
        <f t="shared" si="15"/>
        <v>0.70658246295846483</v>
      </c>
      <c r="T94" s="92">
        <f t="shared" si="16"/>
        <v>5779.6</v>
      </c>
      <c r="U94" s="85"/>
      <c r="V94" s="178">
        <f t="shared" si="17"/>
        <v>5.4094147582697207</v>
      </c>
      <c r="W94" s="180">
        <f t="shared" si="18"/>
        <v>0.35343511450381682</v>
      </c>
    </row>
    <row r="95" spans="1:75" s="107" customFormat="1" ht="18.75">
      <c r="A95" s="120">
        <v>84</v>
      </c>
      <c r="B95" s="106">
        <v>100</v>
      </c>
      <c r="C95" s="42">
        <v>834.8</v>
      </c>
      <c r="D95" s="42">
        <v>184.8</v>
      </c>
      <c r="E95" s="68">
        <v>404.1</v>
      </c>
      <c r="F95" s="66">
        <v>312.2</v>
      </c>
      <c r="G95" s="66">
        <v>78.900000000000006</v>
      </c>
      <c r="H95" s="66"/>
      <c r="I95" s="66"/>
      <c r="J95" s="98">
        <v>154</v>
      </c>
      <c r="K95" s="44">
        <f>698.1+54</f>
        <v>752.1</v>
      </c>
      <c r="L95" s="123">
        <f t="shared" si="12"/>
        <v>2720.9</v>
      </c>
      <c r="M95" s="42">
        <v>31.6</v>
      </c>
      <c r="N95" s="138">
        <f t="shared" si="13"/>
        <v>795.19999999999993</v>
      </c>
      <c r="O95" s="125">
        <v>94.2</v>
      </c>
      <c r="P95" s="109">
        <f t="shared" si="14"/>
        <v>889.4</v>
      </c>
      <c r="Q95" s="39">
        <f t="shared" si="10"/>
        <v>27.209</v>
      </c>
      <c r="R95" s="39">
        <f t="shared" si="11"/>
        <v>8.8940000000000001</v>
      </c>
      <c r="S95" s="157">
        <f t="shared" si="15"/>
        <v>1.3217877094972066</v>
      </c>
      <c r="T95" s="92">
        <f t="shared" si="16"/>
        <v>2752.5</v>
      </c>
      <c r="U95" s="85"/>
      <c r="V95" s="178">
        <f t="shared" si="17"/>
        <v>7.9519999999999991</v>
      </c>
      <c r="W95" s="180">
        <f t="shared" si="18"/>
        <v>0.94200000000000006</v>
      </c>
      <c r="X95" s="80"/>
      <c r="Y95" s="80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  <c r="BU95" s="87"/>
      <c r="BV95" s="87"/>
      <c r="BW95" s="87"/>
    </row>
    <row r="96" spans="1:75" s="107" customFormat="1" ht="18.75">
      <c r="A96" s="120">
        <v>94</v>
      </c>
      <c r="B96" s="106">
        <v>381</v>
      </c>
      <c r="C96" s="42">
        <v>1546.2</v>
      </c>
      <c r="D96" s="42">
        <v>342.3</v>
      </c>
      <c r="E96" s="68">
        <v>687.7</v>
      </c>
      <c r="F96" s="66">
        <f>1631.5+223.2</f>
        <v>1854.7</v>
      </c>
      <c r="G96" s="66">
        <v>315.10000000000002</v>
      </c>
      <c r="H96" s="66"/>
      <c r="I96" s="66"/>
      <c r="J96" s="98">
        <v>219</v>
      </c>
      <c r="K96" s="44">
        <f>1783.4+138.2</f>
        <v>1921.6000000000001</v>
      </c>
      <c r="L96" s="123">
        <f t="shared" si="12"/>
        <v>6886.6</v>
      </c>
      <c r="M96" s="42">
        <v>86.6</v>
      </c>
      <c r="N96" s="138">
        <f t="shared" si="13"/>
        <v>2857.5</v>
      </c>
      <c r="O96" s="125">
        <v>154</v>
      </c>
      <c r="P96" s="109">
        <f t="shared" si="14"/>
        <v>3011.5</v>
      </c>
      <c r="Q96" s="155">
        <f t="shared" si="10"/>
        <v>18.074999999999999</v>
      </c>
      <c r="R96" s="39">
        <f t="shared" si="11"/>
        <v>7.9041994750656164</v>
      </c>
      <c r="S96" s="128">
        <f t="shared" si="15"/>
        <v>0.87806655331552097</v>
      </c>
      <c r="T96" s="154">
        <f t="shared" si="16"/>
        <v>6973.2000000000007</v>
      </c>
      <c r="U96" s="85"/>
      <c r="V96" s="178">
        <f t="shared" si="17"/>
        <v>7.5</v>
      </c>
      <c r="W96" s="180">
        <f t="shared" si="18"/>
        <v>0.40419947506561682</v>
      </c>
      <c r="X96" s="80"/>
      <c r="Y96" s="80"/>
      <c r="Z96" s="87"/>
      <c r="AA96" s="87"/>
      <c r="AB96" s="87"/>
      <c r="AC96" s="87"/>
      <c r="AD96" s="87"/>
      <c r="AE96" s="87"/>
      <c r="AF96" s="87"/>
      <c r="AG96" s="87"/>
      <c r="AH96" s="87"/>
      <c r="AI96" s="87"/>
      <c r="AJ96" s="87"/>
      <c r="AK96" s="87"/>
      <c r="AL96" s="87"/>
      <c r="AM96" s="87"/>
      <c r="AN96" s="87"/>
      <c r="AO96" s="87"/>
      <c r="AP96" s="87"/>
      <c r="AQ96" s="87"/>
      <c r="AR96" s="87"/>
      <c r="AS96" s="87"/>
      <c r="AT96" s="87"/>
      <c r="AU96" s="87"/>
      <c r="AV96" s="87"/>
      <c r="AW96" s="87"/>
      <c r="AX96" s="87"/>
      <c r="AY96" s="87"/>
      <c r="AZ96" s="87"/>
      <c r="BA96" s="87"/>
      <c r="BB96" s="87"/>
      <c r="BC96" s="87"/>
      <c r="BD96" s="87"/>
      <c r="BE96" s="87"/>
      <c r="BF96" s="87"/>
      <c r="BG96" s="87"/>
      <c r="BH96" s="87"/>
      <c r="BI96" s="87"/>
      <c r="BJ96" s="87"/>
      <c r="BK96" s="87"/>
      <c r="BL96" s="87"/>
      <c r="BM96" s="87"/>
      <c r="BN96" s="87"/>
      <c r="BO96" s="87"/>
      <c r="BP96" s="87"/>
      <c r="BQ96" s="87"/>
      <c r="BR96" s="87"/>
      <c r="BS96" s="87"/>
      <c r="BT96" s="87"/>
      <c r="BU96" s="87"/>
      <c r="BV96" s="87"/>
      <c r="BW96" s="87"/>
    </row>
    <row r="97" spans="1:75" s="107" customFormat="1" ht="18.75">
      <c r="A97" s="120">
        <v>101</v>
      </c>
      <c r="B97" s="106">
        <v>230</v>
      </c>
      <c r="C97" s="62">
        <v>1700.9</v>
      </c>
      <c r="D97" s="42">
        <v>376.6</v>
      </c>
      <c r="E97" s="68">
        <v>705.8</v>
      </c>
      <c r="F97" s="66">
        <f>1750.8+98.9</f>
        <v>1849.7</v>
      </c>
      <c r="G97" s="66">
        <v>174.2</v>
      </c>
      <c r="H97" s="66"/>
      <c r="I97" s="66"/>
      <c r="J97" s="98">
        <v>209</v>
      </c>
      <c r="K97" s="44">
        <f>1850.6+143.3</f>
        <v>1993.8999999999999</v>
      </c>
      <c r="L97" s="123">
        <f t="shared" si="12"/>
        <v>7010.1</v>
      </c>
      <c r="M97" s="42">
        <v>34.299999999999997</v>
      </c>
      <c r="N97" s="138">
        <f t="shared" si="13"/>
        <v>2729.7</v>
      </c>
      <c r="O97" s="125">
        <v>165.5</v>
      </c>
      <c r="P97" s="109">
        <f t="shared" si="14"/>
        <v>2895.2</v>
      </c>
      <c r="Q97" s="39">
        <f t="shared" si="10"/>
        <v>30.478999999999999</v>
      </c>
      <c r="R97" s="39">
        <f t="shared" si="11"/>
        <v>12.587826086956522</v>
      </c>
      <c r="S97" s="157">
        <f t="shared" si="15"/>
        <v>1.480641243623998</v>
      </c>
      <c r="T97" s="92">
        <f t="shared" si="16"/>
        <v>7044.4000000000005</v>
      </c>
      <c r="U97" s="85"/>
      <c r="V97" s="178">
        <f t="shared" si="17"/>
        <v>11.868260869565217</v>
      </c>
      <c r="W97" s="180">
        <f t="shared" si="18"/>
        <v>0.7195652173913043</v>
      </c>
      <c r="X97" s="80"/>
      <c r="Y97" s="80"/>
      <c r="Z97" s="87"/>
      <c r="AA97" s="87"/>
      <c r="AB97" s="87"/>
      <c r="AC97" s="87"/>
      <c r="AD97" s="87"/>
      <c r="AE97" s="87"/>
      <c r="AF97" s="87"/>
      <c r="AG97" s="87"/>
      <c r="AH97" s="87"/>
      <c r="AI97" s="87"/>
      <c r="AJ97" s="87"/>
      <c r="AK97" s="87"/>
      <c r="AL97" s="87"/>
      <c r="AM97" s="87"/>
      <c r="AN97" s="87"/>
      <c r="AO97" s="87"/>
      <c r="AP97" s="87"/>
      <c r="AQ97" s="87"/>
      <c r="AR97" s="87"/>
      <c r="AS97" s="87"/>
      <c r="AT97" s="87"/>
      <c r="AU97" s="87"/>
      <c r="AV97" s="87"/>
      <c r="AW97" s="87"/>
      <c r="AX97" s="87"/>
      <c r="AY97" s="87"/>
      <c r="AZ97" s="87"/>
      <c r="BA97" s="87"/>
      <c r="BB97" s="87"/>
      <c r="BC97" s="87"/>
      <c r="BD97" s="87"/>
      <c r="BE97" s="87"/>
      <c r="BF97" s="87"/>
      <c r="BG97" s="87"/>
      <c r="BH97" s="87"/>
      <c r="BI97" s="87"/>
      <c r="BJ97" s="87"/>
      <c r="BK97" s="87"/>
      <c r="BL97" s="87"/>
      <c r="BM97" s="87"/>
      <c r="BN97" s="87"/>
      <c r="BO97" s="87"/>
      <c r="BP97" s="87"/>
      <c r="BQ97" s="87"/>
      <c r="BR97" s="87"/>
      <c r="BS97" s="87"/>
      <c r="BT97" s="87"/>
      <c r="BU97" s="87"/>
      <c r="BV97" s="87"/>
      <c r="BW97" s="87"/>
    </row>
    <row r="98" spans="1:75" ht="18.75">
      <c r="A98" s="7" t="s">
        <v>134</v>
      </c>
      <c r="B98" s="89">
        <v>192</v>
      </c>
      <c r="C98" s="62">
        <v>952.1</v>
      </c>
      <c r="D98" s="42">
        <v>210.8</v>
      </c>
      <c r="E98" s="67">
        <v>442.6</v>
      </c>
      <c r="F98" s="64">
        <v>607.1</v>
      </c>
      <c r="G98" s="64">
        <v>95.4</v>
      </c>
      <c r="H98" s="64"/>
      <c r="I98" s="64"/>
      <c r="J98" s="109">
        <v>154</v>
      </c>
      <c r="K98" s="42">
        <f>1034.4+80.1</f>
        <v>1114.5</v>
      </c>
      <c r="L98" s="123">
        <f t="shared" si="12"/>
        <v>3576.5</v>
      </c>
      <c r="M98" s="42">
        <v>33.700000000000003</v>
      </c>
      <c r="N98" s="138">
        <f t="shared" si="13"/>
        <v>1145.1000000000001</v>
      </c>
      <c r="O98" s="125">
        <v>130.9</v>
      </c>
      <c r="P98" s="109">
        <f t="shared" si="14"/>
        <v>1276.0000000000002</v>
      </c>
      <c r="Q98" s="39">
        <f t="shared" si="10"/>
        <v>18.628</v>
      </c>
      <c r="R98" s="39">
        <f t="shared" si="11"/>
        <v>6.6458333333333348</v>
      </c>
      <c r="S98" s="128">
        <f t="shared" si="15"/>
        <v>0.90493077483604567</v>
      </c>
      <c r="T98" s="92">
        <f t="shared" si="16"/>
        <v>3610.2</v>
      </c>
      <c r="U98" s="85"/>
      <c r="V98" s="178">
        <f t="shared" si="17"/>
        <v>5.9640625000000007</v>
      </c>
      <c r="W98" s="180">
        <f t="shared" si="18"/>
        <v>0.68177083333333333</v>
      </c>
    </row>
    <row r="99" spans="1:75" ht="18.75">
      <c r="A99" s="7" t="s">
        <v>135</v>
      </c>
      <c r="B99" s="89">
        <v>159</v>
      </c>
      <c r="C99" s="62">
        <v>866.1</v>
      </c>
      <c r="D99" s="42">
        <v>191.8</v>
      </c>
      <c r="E99" s="67">
        <v>425.7</v>
      </c>
      <c r="F99" s="64">
        <v>350.3</v>
      </c>
      <c r="G99" s="64">
        <v>71</v>
      </c>
      <c r="H99" s="64"/>
      <c r="I99" s="64"/>
      <c r="J99" s="109">
        <v>150</v>
      </c>
      <c r="K99" s="42">
        <f>838.1+64.9</f>
        <v>903</v>
      </c>
      <c r="L99" s="123">
        <f t="shared" si="12"/>
        <v>2957.9</v>
      </c>
      <c r="M99" s="42">
        <v>25.6</v>
      </c>
      <c r="N99" s="138">
        <f t="shared" si="13"/>
        <v>847</v>
      </c>
      <c r="O99" s="125">
        <v>108.8</v>
      </c>
      <c r="P99" s="109">
        <f t="shared" si="14"/>
        <v>955.8</v>
      </c>
      <c r="Q99" s="39">
        <f t="shared" ref="Q99:Q132" si="19">ROUND(L99/B99,3)</f>
        <v>18.603000000000002</v>
      </c>
      <c r="R99" s="39">
        <f t="shared" si="11"/>
        <v>6.0113207547169809</v>
      </c>
      <c r="S99" s="128">
        <f t="shared" si="15"/>
        <v>0.90371629827544331</v>
      </c>
      <c r="T99" s="92">
        <f t="shared" si="16"/>
        <v>2983.5</v>
      </c>
      <c r="U99" s="85"/>
      <c r="V99" s="178">
        <f t="shared" si="17"/>
        <v>5.3270440251572326</v>
      </c>
      <c r="W99" s="180">
        <f t="shared" si="18"/>
        <v>0.68427672955974839</v>
      </c>
    </row>
    <row r="100" spans="1:75" s="107" customFormat="1" ht="18.75">
      <c r="A100" s="120">
        <v>148</v>
      </c>
      <c r="B100" s="106">
        <v>198</v>
      </c>
      <c r="C100" s="62">
        <v>1489.9</v>
      </c>
      <c r="D100" s="42">
        <v>329.9</v>
      </c>
      <c r="E100" s="68">
        <v>627</v>
      </c>
      <c r="F100" s="66">
        <v>711.2</v>
      </c>
      <c r="G100" s="66">
        <v>112.2</v>
      </c>
      <c r="H100" s="66"/>
      <c r="I100" s="66"/>
      <c r="J100" s="98">
        <v>217</v>
      </c>
      <c r="K100" s="44">
        <f>1045.3+81</f>
        <v>1126.3</v>
      </c>
      <c r="L100" s="123">
        <f t="shared" si="12"/>
        <v>4613.5</v>
      </c>
      <c r="M100" s="42">
        <v>60</v>
      </c>
      <c r="N100" s="138">
        <f t="shared" si="13"/>
        <v>1450.4</v>
      </c>
      <c r="O100" s="125">
        <v>159</v>
      </c>
      <c r="P100" s="109">
        <f t="shared" si="14"/>
        <v>1609.4</v>
      </c>
      <c r="Q100" s="39">
        <f t="shared" si="19"/>
        <v>23.300999999999998</v>
      </c>
      <c r="R100" s="39">
        <f t="shared" si="11"/>
        <v>8.1282828282828294</v>
      </c>
      <c r="S100" s="157">
        <f t="shared" si="15"/>
        <v>1.1319407335438425</v>
      </c>
      <c r="T100" s="92">
        <f t="shared" si="16"/>
        <v>4673.5</v>
      </c>
      <c r="U100" s="85"/>
      <c r="V100" s="178">
        <f t="shared" si="17"/>
        <v>7.3252525252525258</v>
      </c>
      <c r="W100" s="180">
        <f t="shared" si="18"/>
        <v>0.80303030303030298</v>
      </c>
      <c r="X100" s="80"/>
      <c r="Y100" s="80"/>
      <c r="Z100" s="87"/>
      <c r="AA100" s="87"/>
      <c r="AB100" s="87"/>
      <c r="AC100" s="87"/>
      <c r="AD100" s="87"/>
      <c r="AE100" s="87"/>
      <c r="AF100" s="87"/>
      <c r="AG100" s="87"/>
      <c r="AH100" s="87"/>
      <c r="AI100" s="87"/>
      <c r="AJ100" s="87"/>
      <c r="AK100" s="87"/>
      <c r="AL100" s="87"/>
      <c r="AM100" s="87"/>
      <c r="AN100" s="87"/>
      <c r="AO100" s="87"/>
      <c r="AP100" s="87"/>
      <c r="AQ100" s="87"/>
      <c r="AR100" s="87"/>
      <c r="AS100" s="87"/>
      <c r="AT100" s="87"/>
      <c r="AU100" s="87"/>
      <c r="AV100" s="87"/>
      <c r="AW100" s="87"/>
      <c r="AX100" s="87"/>
      <c r="AY100" s="87"/>
      <c r="AZ100" s="87"/>
      <c r="BA100" s="87"/>
      <c r="BB100" s="87"/>
      <c r="BC100" s="87"/>
      <c r="BD100" s="87"/>
      <c r="BE100" s="87"/>
      <c r="BF100" s="87"/>
      <c r="BG100" s="87"/>
      <c r="BH100" s="87"/>
      <c r="BI100" s="87"/>
      <c r="BJ100" s="87"/>
      <c r="BK100" s="87"/>
      <c r="BL100" s="87"/>
      <c r="BM100" s="87"/>
      <c r="BN100" s="87"/>
      <c r="BO100" s="87"/>
      <c r="BP100" s="87"/>
      <c r="BQ100" s="87"/>
      <c r="BR100" s="87"/>
      <c r="BS100" s="87"/>
      <c r="BT100" s="87"/>
      <c r="BU100" s="87"/>
      <c r="BV100" s="87"/>
      <c r="BW100" s="87"/>
    </row>
    <row r="101" spans="1:75" ht="18.75">
      <c r="A101" s="7" t="s">
        <v>136</v>
      </c>
      <c r="B101" s="89">
        <v>325</v>
      </c>
      <c r="C101" s="62">
        <v>1256.9000000000001</v>
      </c>
      <c r="D101" s="42">
        <v>278.3</v>
      </c>
      <c r="E101" s="67">
        <v>406</v>
      </c>
      <c r="F101" s="64">
        <f>740.7+95.1</f>
        <v>835.80000000000007</v>
      </c>
      <c r="G101" s="64">
        <v>105.9</v>
      </c>
      <c r="H101" s="64"/>
      <c r="I101" s="64"/>
      <c r="J101" s="109">
        <v>177</v>
      </c>
      <c r="K101" s="42">
        <f>1327.1+102.8</f>
        <v>1429.8999999999999</v>
      </c>
      <c r="L101" s="123">
        <f t="shared" si="12"/>
        <v>4489.8</v>
      </c>
      <c r="M101" s="42">
        <v>57.3</v>
      </c>
      <c r="N101" s="138">
        <f t="shared" si="13"/>
        <v>1347.7000000000003</v>
      </c>
      <c r="O101" s="125">
        <v>96.2</v>
      </c>
      <c r="P101" s="109">
        <f t="shared" si="14"/>
        <v>1443.9000000000003</v>
      </c>
      <c r="Q101" s="39">
        <f t="shared" si="19"/>
        <v>13.815</v>
      </c>
      <c r="R101" s="39">
        <f t="shared" si="11"/>
        <v>4.4427692307692315</v>
      </c>
      <c r="S101" s="128">
        <f t="shared" si="15"/>
        <v>0.67111974738887537</v>
      </c>
      <c r="T101" s="92">
        <f t="shared" si="16"/>
        <v>4547.1000000000004</v>
      </c>
      <c r="U101" s="85"/>
      <c r="V101" s="178">
        <f t="shared" si="17"/>
        <v>4.1467692307692312</v>
      </c>
      <c r="W101" s="180">
        <f t="shared" si="18"/>
        <v>0.29599999999999999</v>
      </c>
    </row>
    <row r="102" spans="1:75" ht="18.75">
      <c r="A102" s="7" t="s">
        <v>137</v>
      </c>
      <c r="B102" s="89">
        <v>353</v>
      </c>
      <c r="C102" s="62">
        <v>1335.1</v>
      </c>
      <c r="D102" s="42">
        <v>295.60000000000002</v>
      </c>
      <c r="E102" s="67">
        <v>545.70000000000005</v>
      </c>
      <c r="F102" s="64">
        <f>1145.2+145.7</f>
        <v>1290.9000000000001</v>
      </c>
      <c r="G102" s="64">
        <v>220</v>
      </c>
      <c r="H102" s="64"/>
      <c r="I102" s="64"/>
      <c r="J102" s="109">
        <v>199</v>
      </c>
      <c r="K102" s="42">
        <f>1543.3+119.5</f>
        <v>1662.8</v>
      </c>
      <c r="L102" s="123">
        <f t="shared" si="12"/>
        <v>5549.1</v>
      </c>
      <c r="M102" s="42">
        <v>201.9</v>
      </c>
      <c r="N102" s="138">
        <f t="shared" si="13"/>
        <v>2056.6000000000004</v>
      </c>
      <c r="O102" s="125">
        <v>120.5</v>
      </c>
      <c r="P102" s="109">
        <f t="shared" si="14"/>
        <v>2177.1000000000004</v>
      </c>
      <c r="Q102" s="39">
        <f t="shared" si="19"/>
        <v>15.72</v>
      </c>
      <c r="R102" s="39">
        <f t="shared" si="11"/>
        <v>6.1674220963172814</v>
      </c>
      <c r="S102" s="128">
        <f t="shared" si="15"/>
        <v>0.76366286130677674</v>
      </c>
      <c r="T102" s="92">
        <f t="shared" si="16"/>
        <v>5751</v>
      </c>
      <c r="U102" s="85"/>
      <c r="V102" s="178">
        <f t="shared" si="17"/>
        <v>5.8260623229461768</v>
      </c>
      <c r="W102" s="180">
        <f t="shared" si="18"/>
        <v>0.34135977337110479</v>
      </c>
    </row>
    <row r="103" spans="1:75" ht="18.75">
      <c r="A103" s="7" t="s">
        <v>138</v>
      </c>
      <c r="B103" s="89">
        <v>146</v>
      </c>
      <c r="C103" s="62">
        <v>866.1</v>
      </c>
      <c r="D103" s="42">
        <v>191.8</v>
      </c>
      <c r="E103" s="67">
        <v>288.2</v>
      </c>
      <c r="F103" s="64">
        <v>747.8</v>
      </c>
      <c r="G103" s="64">
        <v>61.3</v>
      </c>
      <c r="H103" s="64"/>
      <c r="I103" s="64"/>
      <c r="J103" s="109">
        <v>150</v>
      </c>
      <c r="K103" s="42">
        <f>692.6+53.6</f>
        <v>746.2</v>
      </c>
      <c r="L103" s="123">
        <f t="shared" si="12"/>
        <v>3051.4</v>
      </c>
      <c r="M103" s="42">
        <v>28.8</v>
      </c>
      <c r="N103" s="138">
        <f t="shared" si="13"/>
        <v>1097.3</v>
      </c>
      <c r="O103" s="125">
        <v>126.8</v>
      </c>
      <c r="P103" s="109">
        <f t="shared" si="14"/>
        <v>1224.0999999999999</v>
      </c>
      <c r="Q103" s="39">
        <f t="shared" si="19"/>
        <v>20.9</v>
      </c>
      <c r="R103" s="39">
        <f t="shared" si="11"/>
        <v>8.3842465753424644</v>
      </c>
      <c r="S103" s="157">
        <f t="shared" si="15"/>
        <v>1.0153024046635899</v>
      </c>
      <c r="T103" s="92">
        <f t="shared" si="16"/>
        <v>3080.2000000000003</v>
      </c>
      <c r="U103" s="85"/>
      <c r="V103" s="178">
        <f t="shared" si="17"/>
        <v>7.5157534246575342</v>
      </c>
      <c r="W103" s="180">
        <f t="shared" si="18"/>
        <v>0.86849315068493149</v>
      </c>
    </row>
    <row r="104" spans="1:75" ht="18.75">
      <c r="A104" s="7" t="s">
        <v>139</v>
      </c>
      <c r="B104" s="89">
        <v>399</v>
      </c>
      <c r="C104" s="62">
        <v>1358.6</v>
      </c>
      <c r="D104" s="42">
        <v>300.8</v>
      </c>
      <c r="E104" s="67">
        <v>589.4</v>
      </c>
      <c r="F104" s="64">
        <f>1299.6+169</f>
        <v>1468.6</v>
      </c>
      <c r="G104" s="64">
        <v>183.9</v>
      </c>
      <c r="H104" s="64"/>
      <c r="I104" s="64"/>
      <c r="J104" s="109">
        <v>199</v>
      </c>
      <c r="K104" s="42">
        <f>1621.6+125.6</f>
        <v>1747.1999999999998</v>
      </c>
      <c r="L104" s="123">
        <f t="shared" si="12"/>
        <v>5847.5</v>
      </c>
      <c r="M104" s="42">
        <v>44.9</v>
      </c>
      <c r="N104" s="138">
        <f t="shared" si="13"/>
        <v>2241.9</v>
      </c>
      <c r="O104" s="125">
        <v>118.3</v>
      </c>
      <c r="P104" s="109">
        <f t="shared" si="14"/>
        <v>2360.2000000000003</v>
      </c>
      <c r="Q104" s="39">
        <f t="shared" si="19"/>
        <v>14.654999999999999</v>
      </c>
      <c r="R104" s="39">
        <f t="shared" si="11"/>
        <v>5.9152882205513793</v>
      </c>
      <c r="S104" s="128">
        <f t="shared" si="15"/>
        <v>0.71192615982511531</v>
      </c>
      <c r="T104" s="92">
        <f t="shared" si="16"/>
        <v>5892.4</v>
      </c>
      <c r="U104" s="85"/>
      <c r="V104" s="178">
        <f t="shared" si="17"/>
        <v>5.6187969924812036</v>
      </c>
      <c r="W104" s="180">
        <f t="shared" si="18"/>
        <v>0.29649122807017542</v>
      </c>
    </row>
    <row r="105" spans="1:75" ht="18.75">
      <c r="A105" s="7" t="s">
        <v>140</v>
      </c>
      <c r="B105" s="89">
        <v>224</v>
      </c>
      <c r="C105" s="62">
        <v>1077.2</v>
      </c>
      <c r="D105" s="42">
        <v>238.5</v>
      </c>
      <c r="E105" s="67">
        <v>334</v>
      </c>
      <c r="F105" s="64">
        <v>877.1</v>
      </c>
      <c r="G105" s="64">
        <v>76.400000000000006</v>
      </c>
      <c r="H105" s="64"/>
      <c r="I105" s="64"/>
      <c r="J105" s="109">
        <v>154</v>
      </c>
      <c r="K105" s="42">
        <f>1047.1+81.1</f>
        <v>1128.1999999999998</v>
      </c>
      <c r="L105" s="123">
        <f t="shared" si="12"/>
        <v>3885.4</v>
      </c>
      <c r="M105" s="42">
        <v>33</v>
      </c>
      <c r="N105" s="138">
        <f t="shared" si="13"/>
        <v>1287.5</v>
      </c>
      <c r="O105" s="125">
        <v>111.6</v>
      </c>
      <c r="P105" s="109">
        <f t="shared" si="14"/>
        <v>1399.1</v>
      </c>
      <c r="Q105" s="39">
        <f t="shared" si="19"/>
        <v>17.346</v>
      </c>
      <c r="R105" s="39">
        <f t="shared" si="11"/>
        <v>6.2459821428571427</v>
      </c>
      <c r="S105" s="128">
        <f t="shared" si="15"/>
        <v>0.84265241680835556</v>
      </c>
      <c r="T105" s="92">
        <f t="shared" si="16"/>
        <v>3918.4</v>
      </c>
      <c r="U105" s="85"/>
      <c r="V105" s="178">
        <f t="shared" si="17"/>
        <v>5.7477678571428568</v>
      </c>
      <c r="W105" s="180">
        <f t="shared" si="18"/>
        <v>0.49821428571428567</v>
      </c>
    </row>
    <row r="106" spans="1:75" ht="18.75">
      <c r="A106" s="7" t="s">
        <v>141</v>
      </c>
      <c r="B106" s="89">
        <v>374</v>
      </c>
      <c r="C106" s="62">
        <v>1358.6</v>
      </c>
      <c r="D106" s="42">
        <v>300.8</v>
      </c>
      <c r="E106" s="67">
        <v>517.29999999999995</v>
      </c>
      <c r="F106" s="64">
        <f>1218.3+159.3</f>
        <v>1377.6</v>
      </c>
      <c r="G106" s="64">
        <v>160.9</v>
      </c>
      <c r="H106" s="64"/>
      <c r="I106" s="64"/>
      <c r="J106" s="109">
        <v>199</v>
      </c>
      <c r="K106" s="42">
        <f>1592.4+123.4</f>
        <v>1715.8000000000002</v>
      </c>
      <c r="L106" s="123">
        <f t="shared" si="12"/>
        <v>5630</v>
      </c>
      <c r="M106" s="42">
        <v>53</v>
      </c>
      <c r="N106" s="138">
        <f t="shared" si="13"/>
        <v>2055.7999999999997</v>
      </c>
      <c r="O106" s="125">
        <v>134.9</v>
      </c>
      <c r="P106" s="109">
        <f t="shared" si="14"/>
        <v>2190.6999999999998</v>
      </c>
      <c r="Q106" s="39">
        <f t="shared" si="19"/>
        <v>15.053000000000001</v>
      </c>
      <c r="R106" s="39">
        <f t="shared" si="11"/>
        <v>5.8574866310160427</v>
      </c>
      <c r="S106" s="128">
        <f t="shared" si="15"/>
        <v>0.73126062666990532</v>
      </c>
      <c r="T106" s="92">
        <f t="shared" si="16"/>
        <v>5683</v>
      </c>
      <c r="U106" s="85"/>
      <c r="V106" s="178">
        <f t="shared" si="17"/>
        <v>5.4967914438502667</v>
      </c>
      <c r="W106" s="180">
        <f t="shared" si="18"/>
        <v>0.36069518716577542</v>
      </c>
    </row>
    <row r="107" spans="1:75" ht="18.75">
      <c r="A107" s="7" t="s">
        <v>142</v>
      </c>
      <c r="B107" s="89">
        <v>177</v>
      </c>
      <c r="C107" s="62">
        <v>879.6</v>
      </c>
      <c r="D107" s="42">
        <v>194.8</v>
      </c>
      <c r="E107" s="67">
        <v>479</v>
      </c>
      <c r="F107" s="64">
        <v>696</v>
      </c>
      <c r="G107" s="64">
        <v>94.9</v>
      </c>
      <c r="H107" s="64"/>
      <c r="I107" s="64"/>
      <c r="J107" s="109">
        <v>150</v>
      </c>
      <c r="K107" s="42">
        <f>865.3+67</f>
        <v>932.3</v>
      </c>
      <c r="L107" s="123">
        <f t="shared" si="12"/>
        <v>3426.6</v>
      </c>
      <c r="M107" s="42">
        <v>75</v>
      </c>
      <c r="N107" s="138">
        <f t="shared" si="13"/>
        <v>1269.9000000000001</v>
      </c>
      <c r="O107" s="125">
        <v>94.3</v>
      </c>
      <c r="P107" s="109">
        <f t="shared" si="14"/>
        <v>1364.2</v>
      </c>
      <c r="Q107" s="39">
        <f t="shared" si="19"/>
        <v>19.359000000000002</v>
      </c>
      <c r="R107" s="39">
        <f t="shared" si="11"/>
        <v>7.7073446327683621</v>
      </c>
      <c r="S107" s="128">
        <f t="shared" si="15"/>
        <v>0.94044206946805931</v>
      </c>
      <c r="T107" s="92">
        <f t="shared" si="16"/>
        <v>3501.6</v>
      </c>
      <c r="U107" s="85"/>
      <c r="V107" s="178">
        <f t="shared" si="17"/>
        <v>7.1745762711864414</v>
      </c>
      <c r="W107" s="180">
        <f t="shared" si="18"/>
        <v>0.53276836158192087</v>
      </c>
    </row>
    <row r="108" spans="1:75" ht="18.75">
      <c r="A108" s="7" t="s">
        <v>143</v>
      </c>
      <c r="B108" s="89">
        <v>390</v>
      </c>
      <c r="C108" s="62">
        <v>1499.3</v>
      </c>
      <c r="D108" s="42">
        <v>332</v>
      </c>
      <c r="E108" s="67">
        <v>780.3</v>
      </c>
      <c r="F108" s="64">
        <v>1536.8</v>
      </c>
      <c r="G108" s="64">
        <v>185.9</v>
      </c>
      <c r="H108" s="64"/>
      <c r="I108" s="64"/>
      <c r="J108" s="109">
        <v>219</v>
      </c>
      <c r="K108" s="42">
        <f>1856.1+143.7</f>
        <v>1999.8</v>
      </c>
      <c r="L108" s="123">
        <f t="shared" si="12"/>
        <v>6553.1</v>
      </c>
      <c r="M108" s="42">
        <v>49.3</v>
      </c>
      <c r="N108" s="138">
        <f t="shared" si="13"/>
        <v>2503</v>
      </c>
      <c r="O108" s="125">
        <v>134.69999999999999</v>
      </c>
      <c r="P108" s="109">
        <f t="shared" si="14"/>
        <v>2637.7</v>
      </c>
      <c r="Q108" s="155">
        <f t="shared" si="19"/>
        <v>16.803000000000001</v>
      </c>
      <c r="R108" s="39">
        <f t="shared" si="11"/>
        <v>6.7633333333333328</v>
      </c>
      <c r="S108" s="128">
        <f t="shared" si="15"/>
        <v>0.8162739859120719</v>
      </c>
      <c r="T108" s="154">
        <f t="shared" si="16"/>
        <v>6602.4000000000005</v>
      </c>
      <c r="U108" s="85"/>
      <c r="V108" s="178">
        <f t="shared" si="17"/>
        <v>6.4179487179487182</v>
      </c>
      <c r="W108" s="180">
        <f t="shared" si="18"/>
        <v>0.34538461538461535</v>
      </c>
    </row>
    <row r="109" spans="1:75" ht="18.75">
      <c r="A109" s="7" t="s">
        <v>144</v>
      </c>
      <c r="B109" s="89">
        <v>312</v>
      </c>
      <c r="C109" s="42">
        <v>1669.7</v>
      </c>
      <c r="D109" s="42">
        <v>369.7</v>
      </c>
      <c r="E109" s="67">
        <v>1105.9000000000001</v>
      </c>
      <c r="F109" s="64">
        <v>815.3</v>
      </c>
      <c r="G109" s="64">
        <v>143.6</v>
      </c>
      <c r="H109" s="64"/>
      <c r="I109" s="64"/>
      <c r="J109" s="109">
        <v>217</v>
      </c>
      <c r="K109" s="42">
        <f>1450.7+112.4</f>
        <v>1563.1000000000001</v>
      </c>
      <c r="L109" s="123">
        <f t="shared" si="12"/>
        <v>5884.3</v>
      </c>
      <c r="M109" s="42">
        <v>70.7</v>
      </c>
      <c r="N109" s="138">
        <f t="shared" si="13"/>
        <v>2064.8000000000002</v>
      </c>
      <c r="O109" s="125">
        <v>163.6</v>
      </c>
      <c r="P109" s="109">
        <f t="shared" si="14"/>
        <v>2228.4</v>
      </c>
      <c r="Q109" s="39">
        <f t="shared" si="19"/>
        <v>18.86</v>
      </c>
      <c r="R109" s="39">
        <f t="shared" si="11"/>
        <v>7.1423076923076927</v>
      </c>
      <c r="S109" s="128">
        <f t="shared" si="15"/>
        <v>0.91620111731843568</v>
      </c>
      <c r="T109" s="92">
        <f t="shared" si="16"/>
        <v>5955</v>
      </c>
      <c r="U109" s="85"/>
      <c r="V109" s="178">
        <f t="shared" si="17"/>
        <v>6.6179487179487184</v>
      </c>
      <c r="W109" s="180">
        <f t="shared" si="18"/>
        <v>0.52435897435897438</v>
      </c>
    </row>
    <row r="110" spans="1:75" s="107" customFormat="1" ht="18.75">
      <c r="A110" s="120">
        <v>194</v>
      </c>
      <c r="B110" s="106">
        <v>136</v>
      </c>
      <c r="C110" s="42">
        <v>803.6</v>
      </c>
      <c r="D110" s="42">
        <v>177.9</v>
      </c>
      <c r="E110" s="68">
        <v>465</v>
      </c>
      <c r="F110" s="66">
        <v>468.3</v>
      </c>
      <c r="G110" s="66">
        <v>84.3</v>
      </c>
      <c r="H110" s="66"/>
      <c r="I110" s="66"/>
      <c r="J110" s="98">
        <v>150</v>
      </c>
      <c r="K110" s="44">
        <f>1103.5+85.5</f>
        <v>1189</v>
      </c>
      <c r="L110" s="123">
        <f t="shared" si="12"/>
        <v>3338.1</v>
      </c>
      <c r="M110" s="42">
        <v>22.9</v>
      </c>
      <c r="N110" s="138">
        <f t="shared" si="13"/>
        <v>1017.5999999999999</v>
      </c>
      <c r="O110" s="125">
        <v>119.3</v>
      </c>
      <c r="P110" s="109">
        <f t="shared" si="14"/>
        <v>1136.8999999999999</v>
      </c>
      <c r="Q110" s="39">
        <f t="shared" si="19"/>
        <v>24.545000000000002</v>
      </c>
      <c r="R110" s="39">
        <f t="shared" si="11"/>
        <v>8.3595588235294116</v>
      </c>
      <c r="S110" s="157">
        <f t="shared" si="15"/>
        <v>1.1923730871994171</v>
      </c>
      <c r="T110" s="92">
        <f t="shared" si="16"/>
        <v>3361</v>
      </c>
      <c r="U110" s="85"/>
      <c r="V110" s="178">
        <f t="shared" si="17"/>
        <v>7.4823529411764698</v>
      </c>
      <c r="W110" s="180">
        <f t="shared" si="18"/>
        <v>0.87720588235294117</v>
      </c>
      <c r="X110" s="80"/>
      <c r="Y110" s="80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  <c r="BU110" s="87"/>
      <c r="BV110" s="87"/>
      <c r="BW110" s="87"/>
    </row>
    <row r="111" spans="1:75" ht="18.75">
      <c r="A111" s="7" t="s">
        <v>145</v>
      </c>
      <c r="B111" s="89">
        <v>380</v>
      </c>
      <c r="C111" s="42">
        <v>1546.2</v>
      </c>
      <c r="D111" s="42">
        <v>342.3</v>
      </c>
      <c r="E111" s="67">
        <v>635.29999999999995</v>
      </c>
      <c r="F111" s="64">
        <f>1242.9+169</f>
        <v>1411.9</v>
      </c>
      <c r="G111" s="64">
        <v>226.6</v>
      </c>
      <c r="H111" s="64"/>
      <c r="I111" s="64"/>
      <c r="J111" s="109">
        <v>219</v>
      </c>
      <c r="K111" s="42">
        <f>1723.3+133.5</f>
        <v>1856.8</v>
      </c>
      <c r="L111" s="123">
        <f t="shared" si="12"/>
        <v>6238.1</v>
      </c>
      <c r="M111" s="42">
        <v>49.2</v>
      </c>
      <c r="N111" s="138">
        <f t="shared" si="13"/>
        <v>2273.8000000000002</v>
      </c>
      <c r="O111" s="125">
        <v>132.6</v>
      </c>
      <c r="P111" s="109">
        <f t="shared" si="14"/>
        <v>2406.4</v>
      </c>
      <c r="Q111" s="155">
        <f t="shared" si="19"/>
        <v>16.416</v>
      </c>
      <c r="R111" s="39">
        <f t="shared" si="11"/>
        <v>6.3326315789473684</v>
      </c>
      <c r="S111" s="128">
        <f t="shared" si="15"/>
        <v>0.79747388875394698</v>
      </c>
      <c r="T111" s="154">
        <f t="shared" si="16"/>
        <v>6287.3</v>
      </c>
      <c r="U111" s="85"/>
      <c r="V111" s="178">
        <f t="shared" si="17"/>
        <v>5.9836842105263166</v>
      </c>
      <c r="W111" s="180">
        <f t="shared" si="18"/>
        <v>0.34894736842105262</v>
      </c>
    </row>
    <row r="112" spans="1:75" s="107" customFormat="1" ht="18.75">
      <c r="A112" s="120">
        <v>209</v>
      </c>
      <c r="B112" s="106">
        <v>317</v>
      </c>
      <c r="C112" s="42">
        <v>1546.2</v>
      </c>
      <c r="D112" s="42">
        <v>342.3</v>
      </c>
      <c r="E112" s="68">
        <v>813.1</v>
      </c>
      <c r="F112" s="66">
        <f>1642.5+175.8</f>
        <v>1818.3</v>
      </c>
      <c r="G112" s="66">
        <v>227.7</v>
      </c>
      <c r="H112" s="66"/>
      <c r="I112" s="66"/>
      <c r="J112" s="98">
        <v>219</v>
      </c>
      <c r="K112" s="44">
        <f>1794.3+139</f>
        <v>1933.3</v>
      </c>
      <c r="L112" s="123">
        <f t="shared" si="12"/>
        <v>6899.9</v>
      </c>
      <c r="M112" s="42">
        <v>57.5</v>
      </c>
      <c r="N112" s="138">
        <f t="shared" si="13"/>
        <v>2859.1</v>
      </c>
      <c r="O112" s="125">
        <v>163.1</v>
      </c>
      <c r="P112" s="109">
        <f t="shared" si="14"/>
        <v>3022.2</v>
      </c>
      <c r="Q112" s="155">
        <f t="shared" si="19"/>
        <v>21.765999999999998</v>
      </c>
      <c r="R112" s="39">
        <f t="shared" si="11"/>
        <v>9.5337539432176648</v>
      </c>
      <c r="S112" s="157">
        <f t="shared" si="15"/>
        <v>1.0573718727228563</v>
      </c>
      <c r="T112" s="154">
        <f t="shared" si="16"/>
        <v>6957.4</v>
      </c>
      <c r="U112" s="85"/>
      <c r="V112" s="178">
        <f t="shared" si="17"/>
        <v>9.0192429022082017</v>
      </c>
      <c r="W112" s="180">
        <f t="shared" si="18"/>
        <v>0.51451104100946365</v>
      </c>
      <c r="X112" s="80"/>
      <c r="Y112" s="80"/>
      <c r="Z112" s="87"/>
      <c r="AA112" s="87"/>
      <c r="AB112" s="87"/>
      <c r="AC112" s="87"/>
      <c r="AD112" s="87"/>
      <c r="AE112" s="87"/>
      <c r="AF112" s="87"/>
      <c r="AG112" s="87"/>
      <c r="AH112" s="87"/>
      <c r="AI112" s="87"/>
      <c r="AJ112" s="87"/>
      <c r="AK112" s="87"/>
      <c r="AL112" s="87"/>
      <c r="AM112" s="87"/>
      <c r="AN112" s="87"/>
      <c r="AO112" s="87"/>
      <c r="AP112" s="87"/>
      <c r="AQ112" s="87"/>
      <c r="AR112" s="87"/>
      <c r="AS112" s="87"/>
      <c r="AT112" s="87"/>
      <c r="AU112" s="87"/>
      <c r="AV112" s="87"/>
      <c r="AW112" s="87"/>
      <c r="AX112" s="87"/>
      <c r="AY112" s="87"/>
      <c r="AZ112" s="87"/>
      <c r="BA112" s="87"/>
      <c r="BB112" s="87"/>
      <c r="BC112" s="87"/>
      <c r="BD112" s="87"/>
      <c r="BE112" s="87"/>
      <c r="BF112" s="87"/>
      <c r="BG112" s="87"/>
      <c r="BH112" s="87"/>
      <c r="BI112" s="87"/>
      <c r="BJ112" s="87"/>
      <c r="BK112" s="87"/>
      <c r="BL112" s="87"/>
      <c r="BM112" s="87"/>
      <c r="BN112" s="87"/>
      <c r="BO112" s="87"/>
      <c r="BP112" s="87"/>
      <c r="BQ112" s="87"/>
      <c r="BR112" s="87"/>
      <c r="BS112" s="87"/>
      <c r="BT112" s="87"/>
      <c r="BU112" s="87"/>
      <c r="BV112" s="87"/>
      <c r="BW112" s="87"/>
    </row>
    <row r="113" spans="1:75" s="107" customFormat="1" ht="18.75">
      <c r="A113" s="120">
        <v>210</v>
      </c>
      <c r="B113" s="106">
        <v>159</v>
      </c>
      <c r="C113" s="42">
        <v>1053.7</v>
      </c>
      <c r="D113" s="42">
        <v>233.3</v>
      </c>
      <c r="E113" s="68">
        <v>537.1</v>
      </c>
      <c r="F113" s="66">
        <f>1175.7</f>
        <v>1175.7</v>
      </c>
      <c r="G113" s="66">
        <v>92.8</v>
      </c>
      <c r="H113" s="66"/>
      <c r="I113" s="66"/>
      <c r="J113" s="98">
        <v>174</v>
      </c>
      <c r="K113" s="44">
        <f>869.1+67.3</f>
        <v>936.4</v>
      </c>
      <c r="L113" s="123">
        <f t="shared" si="12"/>
        <v>4203</v>
      </c>
      <c r="M113" s="42">
        <v>53.7</v>
      </c>
      <c r="N113" s="138">
        <f t="shared" si="13"/>
        <v>1805.6000000000001</v>
      </c>
      <c r="O113" s="125">
        <v>110</v>
      </c>
      <c r="P113" s="109">
        <f t="shared" si="14"/>
        <v>1915.6000000000001</v>
      </c>
      <c r="Q113" s="155">
        <f t="shared" si="19"/>
        <v>26.434000000000001</v>
      </c>
      <c r="R113" s="39">
        <f t="shared" si="11"/>
        <v>12.047798742138365</v>
      </c>
      <c r="S113" s="157">
        <f t="shared" si="15"/>
        <v>1.2841389361185329</v>
      </c>
      <c r="T113" s="154">
        <f t="shared" si="16"/>
        <v>4256.7</v>
      </c>
      <c r="U113" s="85"/>
      <c r="V113" s="178">
        <f t="shared" si="17"/>
        <v>11.355974842767296</v>
      </c>
      <c r="W113" s="180">
        <f t="shared" si="18"/>
        <v>0.69182389937106914</v>
      </c>
      <c r="X113" s="80"/>
      <c r="Y113" s="80"/>
      <c r="Z113" s="87"/>
      <c r="AA113" s="87"/>
      <c r="AB113" s="87"/>
      <c r="AC113" s="87"/>
      <c r="AD113" s="87"/>
      <c r="AE113" s="87"/>
      <c r="AF113" s="87"/>
      <c r="AG113" s="87"/>
      <c r="AH113" s="87"/>
      <c r="AI113" s="87"/>
      <c r="AJ113" s="87"/>
      <c r="AK113" s="87"/>
      <c r="AL113" s="87"/>
      <c r="AM113" s="87"/>
      <c r="AN113" s="87"/>
      <c r="AO113" s="87"/>
      <c r="AP113" s="87"/>
      <c r="AQ113" s="87"/>
      <c r="AR113" s="87"/>
      <c r="AS113" s="87"/>
      <c r="AT113" s="87"/>
      <c r="AU113" s="87"/>
      <c r="AV113" s="87"/>
      <c r="AW113" s="87"/>
      <c r="AX113" s="87"/>
      <c r="AY113" s="87"/>
      <c r="AZ113" s="87"/>
      <c r="BA113" s="87"/>
      <c r="BB113" s="87"/>
      <c r="BC113" s="87"/>
      <c r="BD113" s="87"/>
      <c r="BE113" s="87"/>
      <c r="BF113" s="87"/>
      <c r="BG113" s="87"/>
      <c r="BH113" s="87"/>
      <c r="BI113" s="87"/>
      <c r="BJ113" s="87"/>
      <c r="BK113" s="87"/>
      <c r="BL113" s="87"/>
      <c r="BM113" s="87"/>
      <c r="BN113" s="87"/>
      <c r="BO113" s="87"/>
      <c r="BP113" s="87"/>
      <c r="BQ113" s="87"/>
      <c r="BR113" s="87"/>
      <c r="BS113" s="87"/>
      <c r="BT113" s="87"/>
      <c r="BU113" s="87"/>
      <c r="BV113" s="87"/>
      <c r="BW113" s="87"/>
    </row>
    <row r="114" spans="1:75" ht="18.75">
      <c r="A114" s="7" t="s">
        <v>146</v>
      </c>
      <c r="B114" s="89">
        <v>199</v>
      </c>
      <c r="C114" s="42">
        <v>959.9</v>
      </c>
      <c r="D114" s="42">
        <v>212.5</v>
      </c>
      <c r="E114" s="67">
        <v>425.7</v>
      </c>
      <c r="F114" s="64">
        <v>827.5</v>
      </c>
      <c r="G114" s="64">
        <v>89.2</v>
      </c>
      <c r="H114" s="64"/>
      <c r="I114" s="64"/>
      <c r="J114" s="109">
        <v>154</v>
      </c>
      <c r="K114" s="42">
        <f>1001.6+77.6</f>
        <v>1079.2</v>
      </c>
      <c r="L114" s="123">
        <f t="shared" si="12"/>
        <v>3748</v>
      </c>
      <c r="M114" s="42">
        <v>30.1</v>
      </c>
      <c r="N114" s="138">
        <f t="shared" si="13"/>
        <v>1342.4</v>
      </c>
      <c r="O114" s="125">
        <v>123.9</v>
      </c>
      <c r="P114" s="109">
        <f t="shared" si="14"/>
        <v>1466.3000000000002</v>
      </c>
      <c r="Q114" s="39">
        <f t="shared" si="19"/>
        <v>18.834</v>
      </c>
      <c r="R114" s="39">
        <f t="shared" si="11"/>
        <v>7.3683417085427143</v>
      </c>
      <c r="S114" s="128">
        <f t="shared" si="15"/>
        <v>0.91493806169540925</v>
      </c>
      <c r="T114" s="92">
        <f t="shared" si="16"/>
        <v>3778.1</v>
      </c>
      <c r="U114" s="85"/>
      <c r="V114" s="178">
        <f t="shared" si="17"/>
        <v>6.745728643216081</v>
      </c>
      <c r="W114" s="180">
        <f t="shared" si="18"/>
        <v>0.62261306532663319</v>
      </c>
    </row>
    <row r="115" spans="1:75" ht="18.75">
      <c r="A115" s="7" t="s">
        <v>147</v>
      </c>
      <c r="B115" s="89">
        <v>367</v>
      </c>
      <c r="C115" s="42">
        <v>1475.8</v>
      </c>
      <c r="D115" s="42">
        <v>326.8</v>
      </c>
      <c r="E115" s="67">
        <v>615.6</v>
      </c>
      <c r="F115" s="64">
        <f>1601.4+194.8</f>
        <v>1796.2</v>
      </c>
      <c r="G115" s="64">
        <v>303.89999999999998</v>
      </c>
      <c r="H115" s="64"/>
      <c r="I115" s="64"/>
      <c r="J115" s="109">
        <v>207</v>
      </c>
      <c r="K115" s="42">
        <f>1458+112.9</f>
        <v>1570.9</v>
      </c>
      <c r="L115" s="123">
        <f t="shared" si="12"/>
        <v>6296.2</v>
      </c>
      <c r="M115" s="42">
        <v>118</v>
      </c>
      <c r="N115" s="138">
        <f t="shared" si="13"/>
        <v>2715.7000000000003</v>
      </c>
      <c r="O115" s="125">
        <v>171.3</v>
      </c>
      <c r="P115" s="109">
        <f t="shared" si="14"/>
        <v>2887.0000000000005</v>
      </c>
      <c r="Q115" s="155">
        <f t="shared" si="19"/>
        <v>17.155999999999999</v>
      </c>
      <c r="R115" s="39">
        <f t="shared" si="11"/>
        <v>7.8664850136239792</v>
      </c>
      <c r="S115" s="128">
        <f t="shared" si="15"/>
        <v>0.83342239494777737</v>
      </c>
      <c r="T115" s="154">
        <f t="shared" si="16"/>
        <v>6414.2</v>
      </c>
      <c r="U115" s="85"/>
      <c r="V115" s="178">
        <f t="shared" si="17"/>
        <v>7.3997275204359685</v>
      </c>
      <c r="W115" s="180">
        <f t="shared" si="18"/>
        <v>0.46675749318801091</v>
      </c>
    </row>
    <row r="116" spans="1:75" ht="18.75">
      <c r="A116" s="7" t="s">
        <v>148</v>
      </c>
      <c r="B116" s="89">
        <v>446</v>
      </c>
      <c r="C116" s="42">
        <v>1522.7</v>
      </c>
      <c r="D116" s="42">
        <v>337.1</v>
      </c>
      <c r="E116" s="67">
        <v>895.9</v>
      </c>
      <c r="F116" s="64">
        <f>1579.3+204.5</f>
        <v>1783.8</v>
      </c>
      <c r="G116" s="64">
        <v>397.5</v>
      </c>
      <c r="H116" s="64"/>
      <c r="I116" s="64"/>
      <c r="J116" s="109">
        <v>219</v>
      </c>
      <c r="K116" s="42">
        <f>2165.1+167.7</f>
        <v>2332.7999999999997</v>
      </c>
      <c r="L116" s="123">
        <f t="shared" si="12"/>
        <v>7488.8</v>
      </c>
      <c r="M116" s="42">
        <v>47.4</v>
      </c>
      <c r="N116" s="138">
        <f t="shared" si="13"/>
        <v>3077.2</v>
      </c>
      <c r="O116" s="125">
        <v>169.1</v>
      </c>
      <c r="P116" s="109">
        <f t="shared" si="14"/>
        <v>3246.2999999999997</v>
      </c>
      <c r="Q116" s="155">
        <f t="shared" si="19"/>
        <v>16.791</v>
      </c>
      <c r="R116" s="39">
        <f t="shared" si="11"/>
        <v>7.2786995515695061</v>
      </c>
      <c r="S116" s="128">
        <f t="shared" si="15"/>
        <v>0.81569103716298275</v>
      </c>
      <c r="T116" s="154">
        <f t="shared" si="16"/>
        <v>7536.2</v>
      </c>
      <c r="U116" s="85"/>
      <c r="V116" s="178">
        <f t="shared" si="17"/>
        <v>6.899551569506726</v>
      </c>
      <c r="W116" s="180">
        <f t="shared" si="18"/>
        <v>0.37914798206278028</v>
      </c>
    </row>
    <row r="117" spans="1:75" ht="18.75">
      <c r="A117" s="7" t="s">
        <v>149</v>
      </c>
      <c r="B117" s="89">
        <v>400</v>
      </c>
      <c r="C117" s="42">
        <v>1569.6</v>
      </c>
      <c r="D117" s="42">
        <v>347.5</v>
      </c>
      <c r="E117" s="67">
        <v>609</v>
      </c>
      <c r="F117" s="64">
        <f>1216.9+143.1</f>
        <v>1360</v>
      </c>
      <c r="G117" s="64">
        <v>355</v>
      </c>
      <c r="H117" s="64"/>
      <c r="I117" s="64"/>
      <c r="J117" s="109">
        <v>219</v>
      </c>
      <c r="K117" s="42">
        <f>1854.3+143.6</f>
        <v>1997.8999999999999</v>
      </c>
      <c r="L117" s="123">
        <f t="shared" si="12"/>
        <v>6458</v>
      </c>
      <c r="M117" s="42">
        <v>55.2</v>
      </c>
      <c r="N117" s="138">
        <f t="shared" si="13"/>
        <v>2324</v>
      </c>
      <c r="O117" s="125">
        <v>139.19999999999999</v>
      </c>
      <c r="P117" s="109">
        <f t="shared" si="14"/>
        <v>2463.1999999999998</v>
      </c>
      <c r="Q117" s="155">
        <f t="shared" si="19"/>
        <v>16.145</v>
      </c>
      <c r="R117" s="39">
        <f t="shared" si="11"/>
        <v>6.1579999999999995</v>
      </c>
      <c r="S117" s="128">
        <f t="shared" si="15"/>
        <v>0.78430896283701723</v>
      </c>
      <c r="T117" s="154">
        <f t="shared" si="16"/>
        <v>6513.2</v>
      </c>
      <c r="U117" s="85"/>
      <c r="V117" s="178">
        <f t="shared" si="17"/>
        <v>5.81</v>
      </c>
      <c r="W117" s="180">
        <f t="shared" si="18"/>
        <v>0.34799999999999998</v>
      </c>
    </row>
    <row r="118" spans="1:75" ht="18.75">
      <c r="A118" s="7" t="s">
        <v>150</v>
      </c>
      <c r="B118" s="89">
        <v>448</v>
      </c>
      <c r="C118" s="42">
        <v>1577.4</v>
      </c>
      <c r="D118" s="42">
        <v>349.3</v>
      </c>
      <c r="E118" s="67">
        <v>1140.2</v>
      </c>
      <c r="F118" s="64">
        <v>1814.7</v>
      </c>
      <c r="G118" s="64">
        <v>247.2</v>
      </c>
      <c r="H118" s="64"/>
      <c r="I118" s="64"/>
      <c r="J118" s="109">
        <v>219</v>
      </c>
      <c r="K118" s="42">
        <f>1956.1+151.4</f>
        <v>2107.5</v>
      </c>
      <c r="L118" s="123">
        <f t="shared" si="12"/>
        <v>7455.3</v>
      </c>
      <c r="M118" s="42">
        <v>39.6</v>
      </c>
      <c r="N118" s="138">
        <f t="shared" si="13"/>
        <v>3202.1</v>
      </c>
      <c r="O118" s="125">
        <v>135.19999999999999</v>
      </c>
      <c r="P118" s="109">
        <f t="shared" si="14"/>
        <v>3337.2999999999997</v>
      </c>
      <c r="Q118" s="155">
        <f t="shared" si="19"/>
        <v>16.640999999999998</v>
      </c>
      <c r="R118" s="39">
        <f t="shared" si="11"/>
        <v>7.4493303571428564</v>
      </c>
      <c r="S118" s="128">
        <f t="shared" si="15"/>
        <v>0.80840417779936835</v>
      </c>
      <c r="T118" s="154">
        <f t="shared" si="16"/>
        <v>7494.9000000000005</v>
      </c>
      <c r="U118" s="85"/>
      <c r="V118" s="178">
        <f t="shared" si="17"/>
        <v>7.1475446428571425</v>
      </c>
      <c r="W118" s="180">
        <f t="shared" si="18"/>
        <v>0.30178571428571427</v>
      </c>
    </row>
    <row r="119" spans="1:75" ht="18.75">
      <c r="A119" s="7" t="s">
        <v>151</v>
      </c>
      <c r="B119" s="89">
        <v>366</v>
      </c>
      <c r="C119" s="42">
        <v>1358.6</v>
      </c>
      <c r="D119" s="42">
        <v>300.8</v>
      </c>
      <c r="E119" s="67">
        <v>540.29999999999995</v>
      </c>
      <c r="F119" s="64">
        <f>1163.3+149.8</f>
        <v>1313.1</v>
      </c>
      <c r="G119" s="64">
        <v>189.4</v>
      </c>
      <c r="H119" s="64"/>
      <c r="I119" s="64"/>
      <c r="J119" s="109">
        <v>199</v>
      </c>
      <c r="K119" s="42">
        <f>1843.4+142.7</f>
        <v>1986.1000000000001</v>
      </c>
      <c r="L119" s="123">
        <f t="shared" si="12"/>
        <v>5887.3</v>
      </c>
      <c r="M119" s="42">
        <v>33.4</v>
      </c>
      <c r="N119" s="138">
        <f t="shared" si="13"/>
        <v>2042.8</v>
      </c>
      <c r="O119" s="125">
        <v>135.4</v>
      </c>
      <c r="P119" s="109">
        <f t="shared" si="14"/>
        <v>2178.1999999999998</v>
      </c>
      <c r="Q119" s="39">
        <f t="shared" si="19"/>
        <v>16.085999999999999</v>
      </c>
      <c r="R119" s="39">
        <f t="shared" si="11"/>
        <v>5.9513661202185784</v>
      </c>
      <c r="S119" s="128">
        <f t="shared" si="15"/>
        <v>0.78144279815399553</v>
      </c>
      <c r="T119" s="92">
        <f t="shared" si="16"/>
        <v>5920.7</v>
      </c>
      <c r="U119" s="85"/>
      <c r="V119" s="178">
        <f t="shared" si="17"/>
        <v>5.581420765027322</v>
      </c>
      <c r="W119" s="180">
        <f t="shared" si="18"/>
        <v>0.36994535519125682</v>
      </c>
    </row>
    <row r="120" spans="1:75" ht="18.75">
      <c r="A120" s="7" t="s">
        <v>152</v>
      </c>
      <c r="B120" s="89">
        <v>444</v>
      </c>
      <c r="C120" s="42">
        <v>1569.6</v>
      </c>
      <c r="D120" s="42">
        <v>347.5</v>
      </c>
      <c r="E120" s="67">
        <v>653.70000000000005</v>
      </c>
      <c r="F120" s="64">
        <f>1392.3+197.6</f>
        <v>1589.8999999999999</v>
      </c>
      <c r="G120" s="64">
        <v>222</v>
      </c>
      <c r="H120" s="64"/>
      <c r="I120" s="64"/>
      <c r="J120" s="109">
        <v>219</v>
      </c>
      <c r="K120" s="42">
        <f>2114.2+163.7</f>
        <v>2277.8999999999996</v>
      </c>
      <c r="L120" s="123">
        <f t="shared" si="12"/>
        <v>6879.6</v>
      </c>
      <c r="M120" s="42">
        <v>34.299999999999997</v>
      </c>
      <c r="N120" s="138">
        <f t="shared" si="13"/>
        <v>2465.6</v>
      </c>
      <c r="O120" s="125">
        <v>170</v>
      </c>
      <c r="P120" s="109">
        <f t="shared" si="14"/>
        <v>2635.6</v>
      </c>
      <c r="Q120" s="155">
        <f t="shared" si="19"/>
        <v>15.494999999999999</v>
      </c>
      <c r="R120" s="39">
        <f t="shared" si="11"/>
        <v>5.936036036036036</v>
      </c>
      <c r="S120" s="128">
        <f t="shared" si="15"/>
        <v>0.75273257226135526</v>
      </c>
      <c r="T120" s="154">
        <f t="shared" si="16"/>
        <v>6913.9000000000005</v>
      </c>
      <c r="U120" s="85"/>
      <c r="V120" s="178">
        <f t="shared" si="17"/>
        <v>5.5531531531531533</v>
      </c>
      <c r="W120" s="180">
        <f t="shared" si="18"/>
        <v>0.38288288288288286</v>
      </c>
    </row>
    <row r="121" spans="1:75" ht="18.75">
      <c r="A121" s="7" t="s">
        <v>153</v>
      </c>
      <c r="B121" s="89">
        <v>370</v>
      </c>
      <c r="C121" s="42">
        <v>1288.2</v>
      </c>
      <c r="D121" s="42">
        <v>285.2</v>
      </c>
      <c r="E121" s="67">
        <v>772.7</v>
      </c>
      <c r="F121" s="64">
        <v>1382.1</v>
      </c>
      <c r="G121" s="64">
        <v>211.7</v>
      </c>
      <c r="H121" s="64"/>
      <c r="I121" s="64"/>
      <c r="J121" s="109">
        <v>199</v>
      </c>
      <c r="K121" s="42">
        <f>1518+117.5</f>
        <v>1635.5</v>
      </c>
      <c r="L121" s="123">
        <f t="shared" si="12"/>
        <v>5774.4</v>
      </c>
      <c r="M121" s="42">
        <v>39.4</v>
      </c>
      <c r="N121" s="138">
        <f t="shared" si="13"/>
        <v>2366.5</v>
      </c>
      <c r="O121" s="125">
        <v>136</v>
      </c>
      <c r="P121" s="109">
        <f t="shared" si="14"/>
        <v>2502.5</v>
      </c>
      <c r="Q121" s="39">
        <f t="shared" si="19"/>
        <v>15.606</v>
      </c>
      <c r="R121" s="39">
        <f t="shared" si="11"/>
        <v>6.7635135135135132</v>
      </c>
      <c r="S121" s="128">
        <f t="shared" si="15"/>
        <v>0.75812484819042991</v>
      </c>
      <c r="T121" s="92">
        <f t="shared" si="16"/>
        <v>5813.7999999999993</v>
      </c>
      <c r="U121" s="85"/>
      <c r="V121" s="178">
        <f t="shared" si="17"/>
        <v>6.3959459459459458</v>
      </c>
      <c r="W121" s="180">
        <f t="shared" si="18"/>
        <v>0.36756756756756759</v>
      </c>
    </row>
    <row r="122" spans="1:75" ht="18.75">
      <c r="A122" s="7" t="s">
        <v>266</v>
      </c>
      <c r="B122" s="89">
        <v>333</v>
      </c>
      <c r="C122" s="6">
        <v>1335.1</v>
      </c>
      <c r="D122" s="110">
        <v>295.60000000000002</v>
      </c>
      <c r="E122" s="67">
        <v>556.70000000000005</v>
      </c>
      <c r="F122" s="64">
        <v>68</v>
      </c>
      <c r="G122" s="64">
        <v>187.6</v>
      </c>
      <c r="H122" s="64">
        <v>367.7</v>
      </c>
      <c r="I122" s="64"/>
      <c r="J122" s="109">
        <v>187</v>
      </c>
      <c r="K122" s="42">
        <f>1327.1+102.7</f>
        <v>1429.8</v>
      </c>
      <c r="L122" s="123">
        <f t="shared" si="12"/>
        <v>4427.5</v>
      </c>
      <c r="M122" s="42">
        <v>31.6</v>
      </c>
      <c r="N122" s="138">
        <f t="shared" si="13"/>
        <v>1180</v>
      </c>
      <c r="O122" s="125">
        <v>110.5</v>
      </c>
      <c r="P122" s="109">
        <f t="shared" si="14"/>
        <v>1290.5</v>
      </c>
      <c r="Q122" s="39">
        <f t="shared" si="19"/>
        <v>13.295999999999999</v>
      </c>
      <c r="R122" s="39">
        <f t="shared" si="11"/>
        <v>3.8753753753753752</v>
      </c>
      <c r="S122" s="128">
        <f t="shared" si="15"/>
        <v>0.64590721399076989</v>
      </c>
      <c r="T122" s="92">
        <f t="shared" si="16"/>
        <v>4459.1000000000004</v>
      </c>
      <c r="U122" s="85"/>
      <c r="V122" s="178">
        <f t="shared" si="17"/>
        <v>3.5435435435435436</v>
      </c>
      <c r="W122" s="180">
        <f t="shared" si="18"/>
        <v>0.33183183183183185</v>
      </c>
    </row>
    <row r="123" spans="1:75" ht="18.75">
      <c r="A123" s="122" t="s">
        <v>160</v>
      </c>
      <c r="B123" s="89">
        <v>175</v>
      </c>
      <c r="C123" s="42">
        <v>873.9</v>
      </c>
      <c r="D123" s="42">
        <v>193.5</v>
      </c>
      <c r="E123" s="63">
        <v>438.8</v>
      </c>
      <c r="F123" s="63">
        <v>218.7</v>
      </c>
      <c r="G123" s="63">
        <v>86.7</v>
      </c>
      <c r="H123" s="69"/>
      <c r="I123" s="69"/>
      <c r="J123" s="42">
        <v>154</v>
      </c>
      <c r="K123" s="42">
        <f>808.9+62.7</f>
        <v>871.6</v>
      </c>
      <c r="L123" s="123">
        <f t="shared" si="12"/>
        <v>2837.2</v>
      </c>
      <c r="M123" s="6">
        <v>42.6</v>
      </c>
      <c r="N123" s="138">
        <f t="shared" si="13"/>
        <v>744.2</v>
      </c>
      <c r="O123" s="125">
        <v>91.5</v>
      </c>
      <c r="P123" s="109">
        <f t="shared" si="14"/>
        <v>835.7</v>
      </c>
      <c r="Q123" s="39">
        <f t="shared" si="19"/>
        <v>16.213000000000001</v>
      </c>
      <c r="R123" s="39">
        <f t="shared" si="11"/>
        <v>4.7754285714285718</v>
      </c>
      <c r="S123" s="128">
        <f t="shared" si="15"/>
        <v>0.78761233908185568</v>
      </c>
      <c r="T123" s="92">
        <f t="shared" si="16"/>
        <v>2879.7999999999997</v>
      </c>
      <c r="U123" s="85"/>
      <c r="V123" s="178">
        <f t="shared" si="17"/>
        <v>4.2525714285714287</v>
      </c>
      <c r="W123" s="180">
        <f t="shared" si="18"/>
        <v>0.52285714285714291</v>
      </c>
      <c r="X123" s="77"/>
      <c r="Y123" s="77"/>
    </row>
    <row r="124" spans="1:75" ht="18.75">
      <c r="A124" s="122" t="s">
        <v>158</v>
      </c>
      <c r="B124" s="89">
        <v>103</v>
      </c>
      <c r="C124" s="42">
        <v>733.2</v>
      </c>
      <c r="D124" s="42">
        <v>162.30000000000001</v>
      </c>
      <c r="E124" s="63">
        <v>411.3</v>
      </c>
      <c r="F124" s="63">
        <v>332.5</v>
      </c>
      <c r="G124" s="63">
        <v>39.700000000000003</v>
      </c>
      <c r="H124" s="69"/>
      <c r="I124" s="69"/>
      <c r="J124" s="42">
        <v>130</v>
      </c>
      <c r="K124" s="42">
        <f>514.5+39.8</f>
        <v>554.29999999999995</v>
      </c>
      <c r="L124" s="123">
        <f t="shared" si="12"/>
        <v>2363.3000000000002</v>
      </c>
      <c r="M124" s="6">
        <v>158</v>
      </c>
      <c r="N124" s="138">
        <f t="shared" si="13"/>
        <v>783.5</v>
      </c>
      <c r="O124" s="125">
        <v>112.7</v>
      </c>
      <c r="P124" s="109">
        <f t="shared" si="14"/>
        <v>896.2</v>
      </c>
      <c r="Q124" s="39">
        <f t="shared" si="19"/>
        <v>22.945</v>
      </c>
      <c r="R124" s="39">
        <f t="shared" si="11"/>
        <v>8.7009708737864084</v>
      </c>
      <c r="S124" s="157">
        <f t="shared" si="15"/>
        <v>1.1146465873208646</v>
      </c>
      <c r="T124" s="92">
        <f t="shared" si="16"/>
        <v>2521.3000000000002</v>
      </c>
      <c r="U124" s="85"/>
      <c r="V124" s="178">
        <f t="shared" si="17"/>
        <v>7.6067961165048548</v>
      </c>
      <c r="W124" s="180">
        <f t="shared" si="18"/>
        <v>1.0941747572815534</v>
      </c>
      <c r="X124" s="77"/>
      <c r="Y124" s="77"/>
    </row>
    <row r="125" spans="1:75" ht="18.75">
      <c r="A125" s="122" t="s">
        <v>154</v>
      </c>
      <c r="B125" s="89">
        <v>411</v>
      </c>
      <c r="C125" s="42">
        <v>1116.2</v>
      </c>
      <c r="D125" s="42">
        <v>247.1</v>
      </c>
      <c r="E125" s="63">
        <v>684.4</v>
      </c>
      <c r="F125" s="63">
        <f>936.2+191.3</f>
        <v>1127.5</v>
      </c>
      <c r="G125" s="63">
        <v>182.7</v>
      </c>
      <c r="H125" s="69"/>
      <c r="I125" s="69"/>
      <c r="J125" s="42">
        <v>199</v>
      </c>
      <c r="K125" s="42">
        <f>1881.5+145.8</f>
        <v>2027.3</v>
      </c>
      <c r="L125" s="123">
        <f t="shared" si="12"/>
        <v>5584.2</v>
      </c>
      <c r="M125" s="6">
        <v>81.599999999999994</v>
      </c>
      <c r="N125" s="138">
        <f t="shared" si="13"/>
        <v>1994.6000000000001</v>
      </c>
      <c r="O125" s="125">
        <v>152.9</v>
      </c>
      <c r="P125" s="109">
        <f t="shared" si="14"/>
        <v>2147.5</v>
      </c>
      <c r="Q125" s="39">
        <f t="shared" si="19"/>
        <v>13.587</v>
      </c>
      <c r="R125" s="39">
        <f t="shared" si="11"/>
        <v>5.2250608272506085</v>
      </c>
      <c r="S125" s="128">
        <f t="shared" si="15"/>
        <v>0.6600437211561816</v>
      </c>
      <c r="T125" s="92">
        <f t="shared" si="16"/>
        <v>5665.8</v>
      </c>
      <c r="U125" s="85"/>
      <c r="V125" s="178">
        <f t="shared" si="17"/>
        <v>4.8530413625304138</v>
      </c>
      <c r="W125" s="180">
        <f t="shared" si="18"/>
        <v>0.37201946472019465</v>
      </c>
      <c r="X125" s="77"/>
      <c r="Y125" s="77"/>
    </row>
    <row r="126" spans="1:75" ht="18.75">
      <c r="A126" s="122" t="s">
        <v>155</v>
      </c>
      <c r="B126" s="89">
        <v>348</v>
      </c>
      <c r="C126" s="42">
        <v>1092.8</v>
      </c>
      <c r="D126" s="42">
        <v>242</v>
      </c>
      <c r="E126" s="63">
        <v>458.4</v>
      </c>
      <c r="F126" s="63">
        <v>950</v>
      </c>
      <c r="G126" s="63">
        <v>112.1</v>
      </c>
      <c r="H126" s="69"/>
      <c r="I126" s="69"/>
      <c r="J126" s="42">
        <v>177</v>
      </c>
      <c r="K126" s="42">
        <f>1828.9+141.5</f>
        <v>1970.4</v>
      </c>
      <c r="L126" s="123">
        <f t="shared" si="12"/>
        <v>5002.7</v>
      </c>
      <c r="M126" s="6">
        <v>85.4</v>
      </c>
      <c r="N126" s="138">
        <f t="shared" si="13"/>
        <v>1520.5</v>
      </c>
      <c r="O126" s="125">
        <v>123.2</v>
      </c>
      <c r="P126" s="109">
        <f t="shared" si="14"/>
        <v>1643.7</v>
      </c>
      <c r="Q126" s="39">
        <f t="shared" si="19"/>
        <v>14.375999999999999</v>
      </c>
      <c r="R126" s="39">
        <f t="shared" si="11"/>
        <v>4.7232758620689657</v>
      </c>
      <c r="S126" s="128">
        <f t="shared" si="15"/>
        <v>0.69837260140879276</v>
      </c>
      <c r="T126" s="92">
        <f t="shared" si="16"/>
        <v>5088.0999999999995</v>
      </c>
      <c r="U126" s="85"/>
      <c r="V126" s="178">
        <f t="shared" si="17"/>
        <v>4.3692528735632186</v>
      </c>
      <c r="W126" s="180">
        <f t="shared" si="18"/>
        <v>0.35402298850574715</v>
      </c>
      <c r="X126" s="77"/>
      <c r="Y126" s="77"/>
    </row>
    <row r="127" spans="1:75" ht="18.75">
      <c r="A127" s="122" t="s">
        <v>156</v>
      </c>
      <c r="B127" s="89">
        <v>233</v>
      </c>
      <c r="C127" s="42">
        <v>834.8</v>
      </c>
      <c r="D127" s="42">
        <v>184.8</v>
      </c>
      <c r="E127" s="63">
        <v>314.3</v>
      </c>
      <c r="F127" s="63">
        <v>733.2</v>
      </c>
      <c r="G127" s="64">
        <v>67</v>
      </c>
      <c r="H127" s="69"/>
      <c r="I127" s="69"/>
      <c r="J127" s="42">
        <v>154</v>
      </c>
      <c r="K127" s="42">
        <f>999.8+77.4</f>
        <v>1077.2</v>
      </c>
      <c r="L127" s="123">
        <f t="shared" si="12"/>
        <v>3365.3</v>
      </c>
      <c r="M127" s="6">
        <v>100</v>
      </c>
      <c r="N127" s="138">
        <f t="shared" si="13"/>
        <v>1114.5</v>
      </c>
      <c r="O127" s="125">
        <v>110</v>
      </c>
      <c r="P127" s="109">
        <f t="shared" si="14"/>
        <v>1224.5</v>
      </c>
      <c r="Q127" s="39">
        <f t="shared" si="19"/>
        <v>14.443</v>
      </c>
      <c r="R127" s="39">
        <f t="shared" si="11"/>
        <v>5.255364806866953</v>
      </c>
      <c r="S127" s="128">
        <f t="shared" si="15"/>
        <v>0.70162739859120715</v>
      </c>
      <c r="T127" s="92">
        <f t="shared" si="16"/>
        <v>3465.3</v>
      </c>
      <c r="U127" s="85"/>
      <c r="V127" s="178">
        <f t="shared" si="17"/>
        <v>4.7832618025751072</v>
      </c>
      <c r="W127" s="180">
        <f t="shared" si="18"/>
        <v>0.47210300429184548</v>
      </c>
      <c r="X127" s="77"/>
      <c r="Y127" s="77"/>
    </row>
    <row r="128" spans="1:75" ht="18.75">
      <c r="A128" s="120">
        <v>186</v>
      </c>
      <c r="B128" s="106">
        <v>348</v>
      </c>
      <c r="C128" s="44">
        <v>1186.5999999999999</v>
      </c>
      <c r="D128" s="44">
        <v>262.7</v>
      </c>
      <c r="E128" s="65">
        <v>1008.5</v>
      </c>
      <c r="F128" s="65">
        <f>2040.7+216.3</f>
        <v>2257</v>
      </c>
      <c r="G128" s="65">
        <v>162.9</v>
      </c>
      <c r="H128" s="70"/>
      <c r="I128" s="70"/>
      <c r="J128" s="44">
        <v>295</v>
      </c>
      <c r="K128" s="44">
        <f>1772.4+158.6</f>
        <v>1931</v>
      </c>
      <c r="L128" s="123">
        <f t="shared" si="12"/>
        <v>7103.7</v>
      </c>
      <c r="M128" s="97">
        <v>252.5</v>
      </c>
      <c r="N128" s="138">
        <f t="shared" si="13"/>
        <v>3428.4</v>
      </c>
      <c r="O128" s="125">
        <v>174.5</v>
      </c>
      <c r="P128" s="109">
        <f t="shared" si="14"/>
        <v>3602.9</v>
      </c>
      <c r="Q128" s="155">
        <f t="shared" si="19"/>
        <v>20.413</v>
      </c>
      <c r="R128" s="39">
        <f t="shared" si="11"/>
        <v>10.35316091954023</v>
      </c>
      <c r="S128" s="128">
        <f t="shared" si="15"/>
        <v>0.99164440126305564</v>
      </c>
      <c r="T128" s="154">
        <f t="shared" si="16"/>
        <v>7356.2</v>
      </c>
      <c r="U128" s="85"/>
      <c r="V128" s="178">
        <f t="shared" si="17"/>
        <v>9.8517241379310345</v>
      </c>
      <c r="W128" s="180">
        <f t="shared" si="18"/>
        <v>0.50143678160919536</v>
      </c>
      <c r="X128" s="77"/>
      <c r="Y128" s="77"/>
    </row>
    <row r="129" spans="1:75" ht="18.75">
      <c r="A129" s="7" t="s">
        <v>162</v>
      </c>
      <c r="B129" s="89">
        <v>414</v>
      </c>
      <c r="C129" s="42">
        <v>1546.2</v>
      </c>
      <c r="D129" s="42">
        <v>342.3</v>
      </c>
      <c r="E129" s="63">
        <v>877.6</v>
      </c>
      <c r="F129" s="63">
        <f>1834.8+246.8</f>
        <v>2081.6</v>
      </c>
      <c r="G129" s="63">
        <v>344.7</v>
      </c>
      <c r="H129" s="69"/>
      <c r="I129" s="69"/>
      <c r="J129" s="6">
        <v>219</v>
      </c>
      <c r="K129" s="42">
        <f>1807+139.9</f>
        <v>1946.9</v>
      </c>
      <c r="L129" s="123">
        <f t="shared" si="12"/>
        <v>7358.3</v>
      </c>
      <c r="M129" s="6">
        <v>76.7</v>
      </c>
      <c r="N129" s="138">
        <f t="shared" si="13"/>
        <v>3303.8999999999996</v>
      </c>
      <c r="O129" s="125">
        <v>118.6</v>
      </c>
      <c r="P129" s="109">
        <f t="shared" si="14"/>
        <v>3422.4999999999995</v>
      </c>
      <c r="Q129" s="155">
        <f t="shared" si="19"/>
        <v>17.774000000000001</v>
      </c>
      <c r="R129" s="39">
        <f t="shared" si="11"/>
        <v>8.2669082125603861</v>
      </c>
      <c r="S129" s="128">
        <f t="shared" si="15"/>
        <v>0.86344425552586834</v>
      </c>
      <c r="T129" s="154">
        <f t="shared" si="16"/>
        <v>7435</v>
      </c>
      <c r="U129" s="85"/>
      <c r="V129" s="178">
        <f t="shared" si="17"/>
        <v>7.980434782608695</v>
      </c>
      <c r="W129" s="180">
        <f t="shared" si="18"/>
        <v>0.28647342995169078</v>
      </c>
      <c r="X129" s="77"/>
      <c r="Y129" s="77"/>
    </row>
    <row r="130" spans="1:75" ht="18.75">
      <c r="A130" s="122" t="s">
        <v>157</v>
      </c>
      <c r="B130" s="89">
        <v>401</v>
      </c>
      <c r="C130" s="42">
        <v>1378.5</v>
      </c>
      <c r="D130" s="42">
        <v>295.3</v>
      </c>
      <c r="E130" s="63">
        <v>802.3</v>
      </c>
      <c r="F130" s="63">
        <v>1105.7</v>
      </c>
      <c r="G130" s="63">
        <v>134.69999999999999</v>
      </c>
      <c r="H130" s="69"/>
      <c r="I130" s="69"/>
      <c r="J130" s="42">
        <v>208</v>
      </c>
      <c r="K130" s="42">
        <v>1607</v>
      </c>
      <c r="L130" s="123">
        <f t="shared" si="12"/>
        <v>5531.5</v>
      </c>
      <c r="M130" s="6">
        <v>210</v>
      </c>
      <c r="N130" s="138">
        <f t="shared" si="13"/>
        <v>2042.7</v>
      </c>
      <c r="O130" s="125">
        <v>152.9</v>
      </c>
      <c r="P130" s="109">
        <f t="shared" si="14"/>
        <v>2195.6</v>
      </c>
      <c r="Q130" s="39">
        <f t="shared" si="19"/>
        <v>13.794</v>
      </c>
      <c r="R130" s="39">
        <f t="shared" si="11"/>
        <v>5.4753117206982544</v>
      </c>
      <c r="S130" s="128">
        <f t="shared" si="15"/>
        <v>0.67009958707796935</v>
      </c>
      <c r="T130" s="92">
        <f>L130+M130</f>
        <v>5741.5</v>
      </c>
      <c r="U130" s="85"/>
      <c r="V130" s="178">
        <f t="shared" si="17"/>
        <v>5.0940149625935165</v>
      </c>
      <c r="W130" s="180">
        <f t="shared" si="18"/>
        <v>0.38129675810473818</v>
      </c>
      <c r="X130" s="77"/>
      <c r="Y130" s="77"/>
    </row>
    <row r="131" spans="1:75" ht="18.75">
      <c r="A131" s="122" t="s">
        <v>159</v>
      </c>
      <c r="B131" s="89">
        <v>162</v>
      </c>
      <c r="C131" s="42">
        <v>866.1</v>
      </c>
      <c r="D131" s="42">
        <v>191.8</v>
      </c>
      <c r="E131" s="63">
        <v>196.5</v>
      </c>
      <c r="F131" s="63">
        <v>418.3</v>
      </c>
      <c r="G131" s="63">
        <v>69.7</v>
      </c>
      <c r="H131" s="69"/>
      <c r="I131" s="69"/>
      <c r="J131" s="42">
        <v>154</v>
      </c>
      <c r="K131" s="42">
        <f>867.1+67.1</f>
        <v>934.2</v>
      </c>
      <c r="L131" s="123">
        <f t="shared" si="12"/>
        <v>2830.6</v>
      </c>
      <c r="M131" s="6">
        <v>53.8</v>
      </c>
      <c r="N131" s="138">
        <f t="shared" si="13"/>
        <v>684.5</v>
      </c>
      <c r="O131" s="125">
        <v>137.80000000000001</v>
      </c>
      <c r="P131" s="109">
        <f t="shared" si="14"/>
        <v>822.3</v>
      </c>
      <c r="Q131" s="39">
        <f t="shared" si="19"/>
        <v>17.472999999999999</v>
      </c>
      <c r="R131" s="39">
        <f t="shared" ref="R131:R133" si="20">P131/B131</f>
        <v>5.075925925925926</v>
      </c>
      <c r="S131" s="128">
        <f t="shared" si="15"/>
        <v>0.8488219577362156</v>
      </c>
      <c r="T131" s="92">
        <f t="shared" si="16"/>
        <v>2884.4</v>
      </c>
      <c r="U131" s="85"/>
      <c r="V131" s="178">
        <f t="shared" si="17"/>
        <v>4.2253086419753085</v>
      </c>
      <c r="W131" s="180">
        <f t="shared" si="18"/>
        <v>0.85061728395061731</v>
      </c>
      <c r="X131" s="77"/>
      <c r="Y131" s="77"/>
    </row>
    <row r="132" spans="1:75" ht="18.75">
      <c r="A132" s="122" t="s">
        <v>161</v>
      </c>
      <c r="B132" s="89">
        <v>372</v>
      </c>
      <c r="C132" s="42">
        <v>1288.7</v>
      </c>
      <c r="D132" s="42">
        <v>285.3</v>
      </c>
      <c r="E132" s="63">
        <v>749.9</v>
      </c>
      <c r="F132" s="63">
        <v>1153</v>
      </c>
      <c r="G132" s="63">
        <v>203.2</v>
      </c>
      <c r="H132" s="69"/>
      <c r="I132" s="69"/>
      <c r="J132" s="42">
        <v>199</v>
      </c>
      <c r="K132" s="42">
        <f>1863.3+144.2</f>
        <v>2007.5</v>
      </c>
      <c r="L132" s="123">
        <f t="shared" ref="L132:L133" si="21">ROUND(C132+D132+H132+J132+K132+F132+G132+E132,1)</f>
        <v>5886.6</v>
      </c>
      <c r="M132" s="6">
        <v>907.8</v>
      </c>
      <c r="N132" s="138">
        <f>E132+F132+G132+H132+I132</f>
        <v>2106.1</v>
      </c>
      <c r="O132" s="125">
        <v>129.19999999999999</v>
      </c>
      <c r="P132" s="109">
        <f t="shared" ref="P132:P133" si="22">N132+O132</f>
        <v>2235.2999999999997</v>
      </c>
      <c r="Q132" s="39">
        <f t="shared" si="19"/>
        <v>15.824</v>
      </c>
      <c r="R132" s="39">
        <f t="shared" si="20"/>
        <v>6.0088709677419345</v>
      </c>
      <c r="S132" s="128">
        <f>Q132/20.585</f>
        <v>0.76871508379888265</v>
      </c>
      <c r="T132" s="92">
        <f t="shared" ref="T132:T133" si="23">L132+M132</f>
        <v>6794.4000000000005</v>
      </c>
      <c r="U132" s="85"/>
      <c r="V132" s="178">
        <f t="shared" ref="V132:V134" si="24">N132/B132</f>
        <v>5.6615591397849458</v>
      </c>
      <c r="W132" s="180">
        <f t="shared" ref="W132:W134" si="25">O132/B132</f>
        <v>0.34731182795698923</v>
      </c>
      <c r="X132" s="77"/>
      <c r="Y132" s="77"/>
    </row>
    <row r="133" spans="1:75" ht="18.75">
      <c r="A133" s="122" t="s">
        <v>291</v>
      </c>
      <c r="B133" s="89"/>
      <c r="C133" s="42">
        <v>928.6</v>
      </c>
      <c r="D133" s="42">
        <v>204.9</v>
      </c>
      <c r="E133" s="63"/>
      <c r="F133" s="63"/>
      <c r="G133" s="63"/>
      <c r="H133" s="69"/>
      <c r="I133" s="69"/>
      <c r="J133" s="42"/>
      <c r="K133" s="42">
        <v>2788.6</v>
      </c>
      <c r="L133" s="123">
        <f t="shared" si="21"/>
        <v>3922.1</v>
      </c>
      <c r="M133" s="6"/>
      <c r="N133" s="138">
        <f t="shared" ref="N133" si="26">E133+F133+G133+H133+I133</f>
        <v>0</v>
      </c>
      <c r="O133" s="125">
        <v>0</v>
      </c>
      <c r="P133" s="109">
        <f t="shared" si="22"/>
        <v>0</v>
      </c>
      <c r="Q133" s="39"/>
      <c r="R133" s="39" t="e">
        <f t="shared" si="20"/>
        <v>#DIV/0!</v>
      </c>
      <c r="S133" s="128">
        <f>Q133/20.585</f>
        <v>0</v>
      </c>
      <c r="T133" s="92">
        <f t="shared" si="23"/>
        <v>3922.1</v>
      </c>
      <c r="U133" s="85"/>
      <c r="V133" s="178" t="e">
        <f t="shared" si="24"/>
        <v>#DIV/0!</v>
      </c>
      <c r="W133" s="180" t="e">
        <f t="shared" si="25"/>
        <v>#DIV/0!</v>
      </c>
      <c r="X133" s="77"/>
      <c r="Y133" s="77"/>
    </row>
    <row r="134" spans="1:75" s="114" customFormat="1" ht="15.75">
      <c r="A134" s="111" t="s">
        <v>263</v>
      </c>
      <c r="B134" s="112">
        <f t="shared" ref="B134:J134" si="27">SUM(B3:B133)</f>
        <v>30745</v>
      </c>
      <c r="C134" s="112">
        <f t="shared" si="27"/>
        <v>136681.60000000003</v>
      </c>
      <c r="D134" s="112">
        <f t="shared" si="27"/>
        <v>30252.999999999978</v>
      </c>
      <c r="E134" s="112">
        <f t="shared" si="27"/>
        <v>60770.100000000013</v>
      </c>
      <c r="F134" s="112">
        <f t="shared" si="27"/>
        <v>110280.00000000004</v>
      </c>
      <c r="G134" s="112">
        <f t="shared" si="27"/>
        <v>14943.100000000006</v>
      </c>
      <c r="H134" s="112">
        <f t="shared" si="27"/>
        <v>395.3</v>
      </c>
      <c r="I134" s="112">
        <f t="shared" si="27"/>
        <v>67.599999999999994</v>
      </c>
      <c r="J134" s="112">
        <f t="shared" si="27"/>
        <v>22577.599999999999</v>
      </c>
      <c r="K134" s="112">
        <f>SUM(K3:K133)</f>
        <v>163343.09999999998</v>
      </c>
      <c r="L134" s="112">
        <f t="shared" ref="L134:M134" si="28">SUM(L3:L133)</f>
        <v>539311.39999999979</v>
      </c>
      <c r="M134" s="112">
        <f t="shared" si="28"/>
        <v>6870.2999999999993</v>
      </c>
      <c r="N134" s="112">
        <f>SUM(N3:N133)</f>
        <v>186456.1</v>
      </c>
      <c r="O134" s="112">
        <f>SUM(O3:O133)</f>
        <v>16232.699999999997</v>
      </c>
      <c r="P134" s="112">
        <f>N134+O134</f>
        <v>202688.8</v>
      </c>
      <c r="Q134" s="140">
        <f>ROUND(L134/B134,4)</f>
        <v>17.541399999999999</v>
      </c>
      <c r="R134" s="39">
        <f>P134/B134</f>
        <v>6.592577654903236</v>
      </c>
      <c r="S134" s="112"/>
      <c r="T134" s="112">
        <f>SUM(T3:T133)</f>
        <v>546181.70000000007</v>
      </c>
      <c r="U134" s="113"/>
      <c r="V134" s="179">
        <f t="shared" si="24"/>
        <v>6.0645991218084241</v>
      </c>
      <c r="W134" s="181">
        <f t="shared" si="25"/>
        <v>0.52797853309481202</v>
      </c>
      <c r="X134" s="80"/>
      <c r="Y134" s="80"/>
      <c r="Z134" s="87"/>
      <c r="AA134" s="87"/>
      <c r="AB134" s="87"/>
      <c r="AC134" s="87"/>
      <c r="AD134" s="87"/>
      <c r="AE134" s="87"/>
      <c r="AF134" s="87"/>
      <c r="AG134" s="87"/>
      <c r="AH134" s="87"/>
      <c r="AI134" s="87"/>
      <c r="AJ134" s="87"/>
      <c r="AK134" s="87"/>
      <c r="AL134" s="87"/>
      <c r="AM134" s="87"/>
      <c r="AN134" s="87"/>
      <c r="AO134" s="87"/>
      <c r="AP134" s="87"/>
      <c r="AQ134" s="87"/>
      <c r="AR134" s="87"/>
      <c r="AS134" s="87"/>
      <c r="AT134" s="87"/>
      <c r="AU134" s="87"/>
      <c r="AV134" s="87"/>
      <c r="AW134" s="87"/>
      <c r="AX134" s="87"/>
      <c r="AY134" s="87"/>
      <c r="AZ134" s="87"/>
      <c r="BA134" s="87"/>
      <c r="BB134" s="87"/>
      <c r="BC134" s="87"/>
      <c r="BD134" s="87"/>
      <c r="BE134" s="87"/>
      <c r="BF134" s="87"/>
      <c r="BG134" s="87"/>
      <c r="BH134" s="87"/>
      <c r="BI134" s="87"/>
      <c r="BJ134" s="87"/>
      <c r="BK134" s="87"/>
      <c r="BL134" s="87"/>
      <c r="BM134" s="87"/>
      <c r="BN134" s="87"/>
      <c r="BO134" s="87"/>
      <c r="BP134" s="87"/>
      <c r="BQ134" s="87"/>
      <c r="BR134" s="87"/>
      <c r="BS134" s="87"/>
      <c r="BT134" s="87"/>
      <c r="BU134" s="87"/>
      <c r="BV134" s="87"/>
      <c r="BW134" s="87"/>
    </row>
    <row r="135" spans="1:75">
      <c r="A135" s="89"/>
      <c r="B135" s="89"/>
      <c r="C135" s="7"/>
      <c r="D135" s="7"/>
      <c r="E135" s="7"/>
      <c r="F135" s="7"/>
      <c r="G135" s="7"/>
      <c r="H135" s="7"/>
      <c r="I135" s="7"/>
      <c r="J135" s="7"/>
      <c r="K135" s="7"/>
      <c r="L135" s="7"/>
      <c r="M135" s="7"/>
      <c r="N135" s="122"/>
      <c r="O135" s="7"/>
      <c r="P135" s="7"/>
      <c r="Q135" s="7"/>
      <c r="R135" s="7"/>
      <c r="S135" s="21"/>
      <c r="T135" s="39"/>
    </row>
    <row r="136" spans="1:75">
      <c r="A136" s="6"/>
      <c r="B136" s="115"/>
      <c r="C136" s="7"/>
      <c r="D136" s="7"/>
      <c r="E136" s="7"/>
      <c r="F136" s="7"/>
      <c r="G136" s="7"/>
      <c r="H136" s="7"/>
      <c r="I136" s="7"/>
      <c r="J136" s="7"/>
      <c r="K136" s="7"/>
      <c r="L136" s="7"/>
      <c r="M136" s="7"/>
      <c r="N136" s="122"/>
      <c r="O136" s="7"/>
      <c r="P136" s="7"/>
      <c r="Q136" s="7"/>
      <c r="R136" s="7"/>
      <c r="S136" s="21">
        <v>20.585000000000001</v>
      </c>
      <c r="T136" s="39"/>
    </row>
    <row r="137" spans="1:75">
      <c r="C137" s="95"/>
      <c r="D137" s="95"/>
      <c r="E137" s="95"/>
      <c r="F137" s="95"/>
      <c r="G137" s="95"/>
      <c r="H137" s="95"/>
      <c r="I137" s="95"/>
      <c r="J137" s="95"/>
      <c r="K137" s="95"/>
      <c r="M137" s="95"/>
      <c r="S137" s="141">
        <f>T134/B134</f>
        <v>17.764895104895107</v>
      </c>
      <c r="T137" s="116">
        <v>546181.69999999995</v>
      </c>
      <c r="V137" s="117"/>
    </row>
    <row r="138" spans="1:75">
      <c r="L138" s="118"/>
      <c r="N138" s="133"/>
      <c r="T138" s="116">
        <f>T137-T134</f>
        <v>0</v>
      </c>
    </row>
    <row r="139" spans="1:75">
      <c r="S139" s="127">
        <v>17.509</v>
      </c>
      <c r="T139" s="116"/>
    </row>
    <row r="140" spans="1:75">
      <c r="S140" s="127" t="s">
        <v>311</v>
      </c>
      <c r="T140" s="116"/>
    </row>
    <row r="141" spans="1:75">
      <c r="T141" s="116"/>
    </row>
    <row r="142" spans="1:75">
      <c r="T142" s="116"/>
    </row>
  </sheetData>
  <autoFilter ref="W1:W156"/>
  <mergeCells count="1">
    <mergeCell ref="A1:B1"/>
  </mergeCells>
  <pageMargins left="0.25" right="0.25" top="0.2" bottom="0.28000000000000003" header="0.3" footer="0.3"/>
  <pageSetup paperSize="9" scale="61" orientation="landscape" verticalDpi="0" r:id="rId1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00B050"/>
  </sheetPr>
  <dimension ref="A1:BT156"/>
  <sheetViews>
    <sheetView workbookViewId="0">
      <pane ySplit="3720" topLeftCell="A139" activePane="bottomLeft"/>
      <selection activeCell="H2" sqref="H2"/>
      <selection pane="bottomLeft" activeCell="P148" sqref="P148"/>
    </sheetView>
  </sheetViews>
  <sheetFormatPr defaultRowHeight="15"/>
  <cols>
    <col min="1" max="1" width="15" style="25" customWidth="1"/>
    <col min="2" max="2" width="11.7109375" style="25" customWidth="1"/>
    <col min="3" max="3" width="10.85546875" style="25" customWidth="1"/>
    <col min="4" max="4" width="9.7109375" style="25" customWidth="1"/>
    <col min="5" max="5" width="11" style="25" customWidth="1"/>
    <col min="6" max="6" width="9.85546875" style="25" customWidth="1"/>
    <col min="7" max="7" width="9.85546875" style="25" bestFit="1" customWidth="1"/>
    <col min="8" max="8" width="9.42578125" style="25" bestFit="1" customWidth="1"/>
    <col min="9" max="9" width="9.42578125" style="25" customWidth="1"/>
    <col min="10" max="10" width="11" style="25" bestFit="1" customWidth="1"/>
    <col min="11" max="11" width="10" style="25" bestFit="1" customWidth="1"/>
    <col min="12" max="12" width="11" style="25" bestFit="1" customWidth="1"/>
    <col min="13" max="13" width="10" style="25" customWidth="1"/>
    <col min="14" max="14" width="11" style="25" bestFit="1" customWidth="1"/>
    <col min="15" max="15" width="11.7109375" style="25" customWidth="1"/>
    <col min="16" max="16" width="10.42578125" style="25" customWidth="1"/>
    <col min="17" max="17" width="10.5703125" style="25" bestFit="1" customWidth="1"/>
    <col min="18" max="18" width="12.28515625" style="80" customWidth="1"/>
    <col min="19" max="19" width="9.42578125" style="80" bestFit="1" customWidth="1"/>
    <col min="20" max="20" width="10.7109375" style="80" customWidth="1"/>
    <col min="21" max="22" width="9.140625" style="80"/>
    <col min="23" max="72" width="9.140625" style="87"/>
    <col min="73" max="16384" width="9.140625" style="25"/>
  </cols>
  <sheetData>
    <row r="1" spans="1:72">
      <c r="A1" s="207" t="s">
        <v>274</v>
      </c>
      <c r="B1" s="207"/>
      <c r="C1" s="78"/>
      <c r="D1" s="78"/>
      <c r="E1" s="79"/>
      <c r="F1" s="79"/>
      <c r="G1" s="79"/>
      <c r="H1" s="78"/>
      <c r="I1" s="78"/>
      <c r="J1" s="78"/>
      <c r="K1" s="78"/>
      <c r="L1" s="78"/>
    </row>
    <row r="2" spans="1:72" ht="171">
      <c r="A2" s="4" t="s">
        <v>11</v>
      </c>
      <c r="B2" s="4" t="s">
        <v>260</v>
      </c>
      <c r="C2" s="71">
        <v>211</v>
      </c>
      <c r="D2" s="71">
        <v>213</v>
      </c>
      <c r="E2" s="71" t="s">
        <v>13</v>
      </c>
      <c r="F2" s="71" t="s">
        <v>267</v>
      </c>
      <c r="G2" s="71" t="s">
        <v>12</v>
      </c>
      <c r="H2" s="71" t="s">
        <v>14</v>
      </c>
      <c r="I2" s="71" t="s">
        <v>269</v>
      </c>
      <c r="J2" s="71" t="s">
        <v>15</v>
      </c>
      <c r="K2" s="73" t="s">
        <v>261</v>
      </c>
      <c r="L2" s="82" t="s">
        <v>262</v>
      </c>
      <c r="M2" s="139" t="s">
        <v>310</v>
      </c>
      <c r="N2" s="142" t="s">
        <v>297</v>
      </c>
      <c r="O2" s="143" t="s">
        <v>298</v>
      </c>
      <c r="P2" s="137" t="s">
        <v>312</v>
      </c>
      <c r="Q2" s="147" t="s">
        <v>307</v>
      </c>
      <c r="R2" s="146" t="s">
        <v>309</v>
      </c>
      <c r="S2" s="8" t="s">
        <v>313</v>
      </c>
      <c r="T2" s="43" t="s">
        <v>293</v>
      </c>
    </row>
    <row r="3" spans="1:72" s="87" customFormat="1" ht="15.75" hidden="1">
      <c r="A3" s="208" t="s">
        <v>264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10"/>
      <c r="Q3" s="84"/>
      <c r="R3" s="85"/>
      <c r="S3" s="85"/>
      <c r="T3" s="86"/>
      <c r="U3" s="86"/>
      <c r="V3" s="80"/>
    </row>
    <row r="4" spans="1:72" ht="18.75" hidden="1">
      <c r="A4" s="88" t="s">
        <v>268</v>
      </c>
      <c r="B4" s="89"/>
      <c r="C4" s="52"/>
      <c r="D4" s="52"/>
      <c r="E4" s="44"/>
      <c r="F4" s="44"/>
      <c r="G4" s="44"/>
      <c r="H4" s="90"/>
      <c r="I4" s="90"/>
      <c r="J4" s="90"/>
      <c r="K4" s="90"/>
      <c r="L4" s="91">
        <f t="shared" ref="L4:L14" si="0">ROUND(C4+D4+H4+J4+K4+(F4/2)+G4+(E4*0.9),1)</f>
        <v>0</v>
      </c>
      <c r="M4" s="125" t="e">
        <f>ROUND(#REF!+(F4-(F4/2))+(E4*0.1),1)</f>
        <v>#REF!</v>
      </c>
      <c r="N4" s="125" t="e">
        <f>ROUND(#REF!+#REF!,1)</f>
        <v>#REF!</v>
      </c>
      <c r="O4" s="93" t="e">
        <f>#REF!/#REF!</f>
        <v>#REF!</v>
      </c>
      <c r="P4" s="94" t="e">
        <f>O4/23.095</f>
        <v>#REF!</v>
      </c>
      <c r="Q4" s="95">
        <f t="shared" ref="Q4:Q14" si="1">SUM(C4:K4)</f>
        <v>0</v>
      </c>
      <c r="R4" s="85"/>
      <c r="S4" s="85"/>
    </row>
    <row r="5" spans="1:72" ht="24" hidden="1" customHeight="1">
      <c r="A5" s="88">
        <v>75</v>
      </c>
      <c r="B5" s="89"/>
      <c r="C5" s="52"/>
      <c r="D5" s="52"/>
      <c r="E5" s="44"/>
      <c r="F5" s="44"/>
      <c r="G5" s="44"/>
      <c r="H5" s="90"/>
      <c r="I5" s="90"/>
      <c r="J5" s="96"/>
      <c r="K5" s="97"/>
      <c r="L5" s="91">
        <f t="shared" si="0"/>
        <v>0</v>
      </c>
      <c r="M5" s="125" t="e">
        <f>ROUND(#REF!+(F5-(F5/2))+(E5*0.1),1)</f>
        <v>#REF!</v>
      </c>
      <c r="N5" s="125" t="e">
        <f>ROUND(#REF!+#REF!,1)</f>
        <v>#REF!</v>
      </c>
      <c r="O5" s="93" t="e">
        <f>#REF!/#REF!</f>
        <v>#REF!</v>
      </c>
      <c r="P5" s="94" t="e">
        <f t="shared" ref="P5:P14" si="2">O5/23.095</f>
        <v>#REF!</v>
      </c>
      <c r="Q5" s="95">
        <f t="shared" si="1"/>
        <v>0</v>
      </c>
      <c r="R5" s="85"/>
      <c r="S5" s="85"/>
    </row>
    <row r="6" spans="1:72" ht="18.75" hidden="1">
      <c r="A6" s="88">
        <v>106</v>
      </c>
      <c r="B6" s="89"/>
      <c r="C6" s="52"/>
      <c r="D6" s="52"/>
      <c r="E6" s="44"/>
      <c r="F6" s="44"/>
      <c r="G6" s="44"/>
      <c r="H6" s="90"/>
      <c r="I6" s="90"/>
      <c r="J6" s="96"/>
      <c r="K6" s="97"/>
      <c r="L6" s="91">
        <f t="shared" si="0"/>
        <v>0</v>
      </c>
      <c r="M6" s="125" t="e">
        <f>ROUND(#REF!+(F6-(F6/2))+(E6*0.1),1)</f>
        <v>#REF!</v>
      </c>
      <c r="N6" s="125" t="e">
        <f>ROUND(#REF!+#REF!,1)</f>
        <v>#REF!</v>
      </c>
      <c r="O6" s="93" t="e">
        <f>#REF!/#REF!</f>
        <v>#REF!</v>
      </c>
      <c r="P6" s="94" t="e">
        <f t="shared" si="2"/>
        <v>#REF!</v>
      </c>
      <c r="Q6" s="95">
        <f t="shared" si="1"/>
        <v>0</v>
      </c>
      <c r="R6" s="85"/>
      <c r="S6" s="85"/>
    </row>
    <row r="7" spans="1:72" ht="18.75" hidden="1">
      <c r="A7" s="88">
        <v>139</v>
      </c>
      <c r="B7" s="89"/>
      <c r="C7" s="52"/>
      <c r="D7" s="52"/>
      <c r="E7" s="44"/>
      <c r="F7" s="44"/>
      <c r="G7" s="44"/>
      <c r="H7" s="90"/>
      <c r="I7" s="90"/>
      <c r="J7" s="96"/>
      <c r="K7" s="97"/>
      <c r="L7" s="91">
        <f t="shared" si="0"/>
        <v>0</v>
      </c>
      <c r="M7" s="125" t="e">
        <f>ROUND(#REF!+(F7-(F7/2))+(E7*0.1),1)</f>
        <v>#REF!</v>
      </c>
      <c r="N7" s="125" t="e">
        <f>ROUND(#REF!+#REF!,1)</f>
        <v>#REF!</v>
      </c>
      <c r="O7" s="93" t="e">
        <f>#REF!/#REF!</f>
        <v>#REF!</v>
      </c>
      <c r="P7" s="94" t="e">
        <f t="shared" si="2"/>
        <v>#REF!</v>
      </c>
      <c r="Q7" s="95">
        <f t="shared" si="1"/>
        <v>0</v>
      </c>
      <c r="R7" s="85"/>
      <c r="S7" s="85"/>
    </row>
    <row r="8" spans="1:72" ht="18.75" hidden="1">
      <c r="A8" s="88">
        <v>159</v>
      </c>
      <c r="B8" s="89"/>
      <c r="C8" s="52"/>
      <c r="D8" s="52"/>
      <c r="E8" s="44"/>
      <c r="F8" s="44"/>
      <c r="G8" s="44"/>
      <c r="H8" s="90"/>
      <c r="I8" s="90"/>
      <c r="J8" s="98"/>
      <c r="K8" s="44"/>
      <c r="L8" s="91">
        <f t="shared" si="0"/>
        <v>0</v>
      </c>
      <c r="M8" s="125" t="e">
        <f>ROUND(#REF!+(F8-(F8/2))+(E8*0.1),1)</f>
        <v>#REF!</v>
      </c>
      <c r="N8" s="125" t="e">
        <f>ROUND(#REF!+#REF!,1)</f>
        <v>#REF!</v>
      </c>
      <c r="O8" s="93" t="e">
        <f>#REF!/#REF!</f>
        <v>#REF!</v>
      </c>
      <c r="P8" s="94" t="e">
        <f t="shared" si="2"/>
        <v>#REF!</v>
      </c>
      <c r="Q8" s="95">
        <f t="shared" si="1"/>
        <v>0</v>
      </c>
      <c r="R8" s="85"/>
      <c r="S8" s="85"/>
    </row>
    <row r="9" spans="1:72" ht="18.75" hidden="1">
      <c r="A9" s="88">
        <v>173</v>
      </c>
      <c r="B9" s="89"/>
      <c r="C9" s="52"/>
      <c r="D9" s="52"/>
      <c r="E9" s="44"/>
      <c r="F9" s="44"/>
      <c r="G9" s="44"/>
      <c r="H9" s="90"/>
      <c r="I9" s="90"/>
      <c r="J9" s="98"/>
      <c r="K9" s="44"/>
      <c r="L9" s="91">
        <f t="shared" si="0"/>
        <v>0</v>
      </c>
      <c r="M9" s="125" t="e">
        <f>ROUND(#REF!+(F9-(F9/2))+(E9*0.1),1)</f>
        <v>#REF!</v>
      </c>
      <c r="N9" s="125" t="e">
        <f>ROUND(#REF!+#REF!,1)</f>
        <v>#REF!</v>
      </c>
      <c r="O9" s="93" t="e">
        <f>#REF!/#REF!</f>
        <v>#REF!</v>
      </c>
      <c r="P9" s="94" t="e">
        <f t="shared" si="2"/>
        <v>#REF!</v>
      </c>
      <c r="Q9" s="95">
        <f t="shared" si="1"/>
        <v>0</v>
      </c>
      <c r="R9" s="85"/>
      <c r="S9" s="85"/>
    </row>
    <row r="10" spans="1:72" ht="18.75" hidden="1">
      <c r="A10" s="88">
        <v>84</v>
      </c>
      <c r="B10" s="89"/>
      <c r="C10" s="97"/>
      <c r="D10" s="99"/>
      <c r="E10" s="100"/>
      <c r="F10" s="90"/>
      <c r="G10" s="90"/>
      <c r="H10" s="90"/>
      <c r="I10" s="90"/>
      <c r="J10" s="98"/>
      <c r="K10" s="44"/>
      <c r="L10" s="91">
        <f t="shared" si="0"/>
        <v>0</v>
      </c>
      <c r="M10" s="125" t="e">
        <f>ROUND(#REF!+(F10-(F10/2))+(E10*0.1),1)</f>
        <v>#REF!</v>
      </c>
      <c r="N10" s="125" t="e">
        <f>ROUND(#REF!+#REF!,1)</f>
        <v>#REF!</v>
      </c>
      <c r="O10" s="93" t="e">
        <f>#REF!/#REF!</f>
        <v>#REF!</v>
      </c>
      <c r="P10" s="94" t="e">
        <f t="shared" si="2"/>
        <v>#REF!</v>
      </c>
      <c r="Q10" s="95">
        <f t="shared" si="1"/>
        <v>0</v>
      </c>
      <c r="R10" s="85"/>
      <c r="S10" s="85"/>
    </row>
    <row r="11" spans="1:72" ht="18.75" hidden="1">
      <c r="A11" s="88">
        <v>101</v>
      </c>
      <c r="B11" s="89"/>
      <c r="C11" s="97"/>
      <c r="D11" s="99"/>
      <c r="E11" s="100"/>
      <c r="F11" s="90"/>
      <c r="G11" s="90"/>
      <c r="H11" s="90"/>
      <c r="I11" s="90"/>
      <c r="J11" s="98"/>
      <c r="K11" s="44"/>
      <c r="L11" s="91">
        <f t="shared" si="0"/>
        <v>0</v>
      </c>
      <c r="M11" s="125" t="e">
        <f>ROUND(#REF!+(F11-(F11/2))+(E11*0.1),1)</f>
        <v>#REF!</v>
      </c>
      <c r="N11" s="125" t="e">
        <f>ROUND(#REF!+#REF!,1)</f>
        <v>#REF!</v>
      </c>
      <c r="O11" s="93" t="e">
        <f>#REF!/#REF!</f>
        <v>#REF!</v>
      </c>
      <c r="P11" s="94" t="e">
        <f t="shared" si="2"/>
        <v>#REF!</v>
      </c>
      <c r="Q11" s="95">
        <f t="shared" si="1"/>
        <v>0</v>
      </c>
      <c r="R11" s="85"/>
      <c r="S11" s="85"/>
    </row>
    <row r="12" spans="1:72" ht="18.75" hidden="1">
      <c r="A12" s="101">
        <v>85</v>
      </c>
      <c r="B12" s="89"/>
      <c r="C12" s="52"/>
      <c r="D12" s="52"/>
      <c r="E12" s="44"/>
      <c r="F12" s="44"/>
      <c r="G12" s="44"/>
      <c r="H12" s="90"/>
      <c r="I12" s="90"/>
      <c r="J12" s="96"/>
      <c r="K12" s="97"/>
      <c r="L12" s="91">
        <f t="shared" si="0"/>
        <v>0</v>
      </c>
      <c r="M12" s="125" t="e">
        <f>ROUND(#REF!+(F12-(F12/2))+(E12*0.1),1)</f>
        <v>#REF!</v>
      </c>
      <c r="N12" s="125" t="e">
        <f>ROUND(#REF!+#REF!,1)</f>
        <v>#REF!</v>
      </c>
      <c r="O12" s="93" t="e">
        <f>#REF!/#REF!</f>
        <v>#REF!</v>
      </c>
      <c r="P12" s="94" t="e">
        <f t="shared" si="2"/>
        <v>#REF!</v>
      </c>
      <c r="Q12" s="95">
        <f t="shared" si="1"/>
        <v>0</v>
      </c>
      <c r="R12" s="85"/>
      <c r="S12" s="85"/>
    </row>
    <row r="13" spans="1:72" ht="18.75" hidden="1">
      <c r="A13" s="88">
        <v>40</v>
      </c>
      <c r="B13" s="89"/>
      <c r="C13" s="52"/>
      <c r="D13" s="52"/>
      <c r="E13" s="44"/>
      <c r="F13" s="44"/>
      <c r="G13" s="44"/>
      <c r="H13" s="90"/>
      <c r="I13" s="90"/>
      <c r="J13" s="98"/>
      <c r="K13" s="44"/>
      <c r="L13" s="91">
        <f t="shared" si="0"/>
        <v>0</v>
      </c>
      <c r="M13" s="125" t="e">
        <f>ROUND(#REF!+(F13-(F13/2))+(E13*0.1),1)</f>
        <v>#REF!</v>
      </c>
      <c r="N13" s="125" t="e">
        <f>ROUND(#REF!+#REF!,1)</f>
        <v>#REF!</v>
      </c>
      <c r="O13" s="93" t="e">
        <f>#REF!/#REF!</f>
        <v>#REF!</v>
      </c>
      <c r="P13" s="94" t="e">
        <f t="shared" si="2"/>
        <v>#REF!</v>
      </c>
      <c r="Q13" s="95">
        <f t="shared" si="1"/>
        <v>0</v>
      </c>
      <c r="R13" s="85"/>
      <c r="S13" s="85"/>
    </row>
    <row r="14" spans="1:72" ht="18.75" hidden="1">
      <c r="A14" s="88">
        <v>115</v>
      </c>
      <c r="B14" s="89"/>
      <c r="C14" s="52"/>
      <c r="D14" s="52"/>
      <c r="E14" s="44"/>
      <c r="F14" s="44"/>
      <c r="G14" s="44"/>
      <c r="H14" s="90"/>
      <c r="I14" s="90"/>
      <c r="J14" s="98"/>
      <c r="K14" s="44"/>
      <c r="L14" s="91">
        <f t="shared" si="0"/>
        <v>0</v>
      </c>
      <c r="M14" s="125" t="e">
        <f>ROUND(#REF!+(F14-(F14/2))+(E14*0.1),1)</f>
        <v>#REF!</v>
      </c>
      <c r="N14" s="125" t="e">
        <f>ROUND(#REF!+#REF!,1)</f>
        <v>#REF!</v>
      </c>
      <c r="O14" s="93" t="e">
        <f>#REF!/#REF!</f>
        <v>#REF!</v>
      </c>
      <c r="P14" s="94" t="e">
        <f t="shared" si="2"/>
        <v>#REF!</v>
      </c>
      <c r="Q14" s="95">
        <f t="shared" si="1"/>
        <v>0</v>
      </c>
      <c r="R14" s="85"/>
      <c r="S14" s="85"/>
    </row>
    <row r="15" spans="1:72" s="105" customFormat="1" hidden="1">
      <c r="A15" s="119" t="s">
        <v>16</v>
      </c>
      <c r="B15" s="102">
        <f t="shared" ref="B15:Q15" si="3">SUM(B4:B14)</f>
        <v>0</v>
      </c>
      <c r="C15" s="103">
        <f t="shared" si="3"/>
        <v>0</v>
      </c>
      <c r="D15" s="103">
        <f t="shared" si="3"/>
        <v>0</v>
      </c>
      <c r="E15" s="103">
        <f t="shared" si="3"/>
        <v>0</v>
      </c>
      <c r="F15" s="103">
        <f t="shared" si="3"/>
        <v>0</v>
      </c>
      <c r="G15" s="103">
        <f t="shared" si="3"/>
        <v>0</v>
      </c>
      <c r="H15" s="103">
        <f t="shared" si="3"/>
        <v>0</v>
      </c>
      <c r="I15" s="103">
        <f t="shared" si="3"/>
        <v>0</v>
      </c>
      <c r="J15" s="103">
        <f t="shared" si="3"/>
        <v>0</v>
      </c>
      <c r="K15" s="103">
        <f t="shared" si="3"/>
        <v>0</v>
      </c>
      <c r="L15" s="103">
        <f t="shared" si="3"/>
        <v>0</v>
      </c>
      <c r="M15" s="103" t="e">
        <f t="shared" si="3"/>
        <v>#REF!</v>
      </c>
      <c r="N15" s="103" t="e">
        <f t="shared" si="3"/>
        <v>#REF!</v>
      </c>
      <c r="O15" s="103" t="e">
        <f t="shared" si="3"/>
        <v>#REF!</v>
      </c>
      <c r="P15" s="103" t="e">
        <f t="shared" si="3"/>
        <v>#REF!</v>
      </c>
      <c r="Q15" s="104">
        <f t="shared" si="3"/>
        <v>0</v>
      </c>
      <c r="R15" s="85"/>
      <c r="S15" s="85"/>
      <c r="T15" s="80"/>
      <c r="U15" s="80"/>
      <c r="V15" s="80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</row>
    <row r="16" spans="1:72" ht="15.75" hidden="1">
      <c r="A16" s="211" t="s">
        <v>265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  <c r="Q16" s="95">
        <f t="shared" ref="Q16" si="4">SUM(C16:K16)</f>
        <v>0</v>
      </c>
      <c r="R16" s="85"/>
      <c r="S16" s="85"/>
    </row>
    <row r="17" spans="1:72" ht="18.75">
      <c r="A17" s="7" t="s">
        <v>66</v>
      </c>
      <c r="B17" s="89">
        <v>155</v>
      </c>
      <c r="C17" s="51">
        <v>757.6</v>
      </c>
      <c r="D17" s="51">
        <v>227.8</v>
      </c>
      <c r="E17" s="42">
        <v>201.6</v>
      </c>
      <c r="F17" s="42">
        <v>298.60000000000002</v>
      </c>
      <c r="G17" s="42">
        <v>83.4</v>
      </c>
      <c r="H17" s="64"/>
      <c r="I17" s="64"/>
      <c r="J17" s="42">
        <v>45.4</v>
      </c>
      <c r="K17" s="42">
        <v>1004</v>
      </c>
      <c r="L17" s="123">
        <f>ROUND(C17+D17+H17+J17+K17+F17+G17+E17,1)</f>
        <v>2618.4</v>
      </c>
      <c r="M17" s="42">
        <v>24.8</v>
      </c>
      <c r="N17" s="39">
        <f>E17+F17+G17+H17+I17</f>
        <v>583.6</v>
      </c>
      <c r="O17" s="42">
        <v>45.4</v>
      </c>
      <c r="P17" s="92">
        <f>N17+O17</f>
        <v>629</v>
      </c>
      <c r="Q17" s="39">
        <f t="shared" ref="Q17:Q48" si="5">ROUND(L17/B17,3)</f>
        <v>16.893000000000001</v>
      </c>
      <c r="R17" s="144">
        <f t="shared" ref="R17:R80" si="6">P17/B17</f>
        <v>4.0580645161290319</v>
      </c>
      <c r="S17" s="128">
        <f>Q17/20.585</f>
        <v>0.82064610153024042</v>
      </c>
      <c r="T17" s="145">
        <f>L17+M17</f>
        <v>2643.2000000000003</v>
      </c>
    </row>
    <row r="18" spans="1:72" s="107" customFormat="1" ht="18.75">
      <c r="A18" s="120">
        <v>16</v>
      </c>
      <c r="B18" s="106">
        <v>82</v>
      </c>
      <c r="C18" s="52">
        <v>757.6</v>
      </c>
      <c r="D18" s="52">
        <v>227.8</v>
      </c>
      <c r="E18" s="42">
        <v>292.60000000000002</v>
      </c>
      <c r="F18" s="42">
        <v>148.9</v>
      </c>
      <c r="G18" s="42">
        <v>60.6</v>
      </c>
      <c r="H18" s="66"/>
      <c r="I18" s="66"/>
      <c r="J18" s="90">
        <v>45.4</v>
      </c>
      <c r="K18" s="90">
        <v>1071</v>
      </c>
      <c r="L18" s="123">
        <f t="shared" ref="L18:L81" si="7">ROUND(C18+D18+H18+J18+K18+F18+G18+E18,1)</f>
        <v>2603.9</v>
      </c>
      <c r="M18" s="42">
        <v>25.1</v>
      </c>
      <c r="N18" s="39">
        <f t="shared" ref="N18:N81" si="8">E18+F18+G18+H18+I18</f>
        <v>502.1</v>
      </c>
      <c r="O18" s="90">
        <v>45.4</v>
      </c>
      <c r="P18" s="92">
        <f t="shared" ref="P18:P81" si="9">N18+O18</f>
        <v>547.5</v>
      </c>
      <c r="Q18" s="39">
        <f t="shared" si="5"/>
        <v>31.754999999999999</v>
      </c>
      <c r="R18" s="144">
        <f t="shared" si="6"/>
        <v>6.6768292682926829</v>
      </c>
      <c r="S18" s="128">
        <f t="shared" ref="S18:S81" si="10">Q18/20.585</f>
        <v>1.5426281272771434</v>
      </c>
      <c r="T18" s="145">
        <f t="shared" ref="T18:T81" si="11">L18+M18</f>
        <v>2629</v>
      </c>
      <c r="U18" s="80"/>
      <c r="V18" s="80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</row>
    <row r="19" spans="1:72" ht="18.75">
      <c r="A19" s="7" t="s">
        <v>67</v>
      </c>
      <c r="B19" s="89">
        <v>123</v>
      </c>
      <c r="C19" s="51">
        <v>661.7</v>
      </c>
      <c r="D19" s="51">
        <v>198.9</v>
      </c>
      <c r="E19" s="42">
        <v>273.10000000000002</v>
      </c>
      <c r="F19" s="42">
        <v>115.4</v>
      </c>
      <c r="G19" s="42">
        <v>87.4</v>
      </c>
      <c r="H19" s="64"/>
      <c r="I19" s="64"/>
      <c r="J19" s="108">
        <v>38.299999999999997</v>
      </c>
      <c r="K19" s="6">
        <v>803.9</v>
      </c>
      <c r="L19" s="123">
        <f t="shared" si="7"/>
        <v>2178.6999999999998</v>
      </c>
      <c r="M19" s="42">
        <v>13.5</v>
      </c>
      <c r="N19" s="39">
        <f t="shared" si="8"/>
        <v>475.9</v>
      </c>
      <c r="O19" s="42">
        <v>38.299999999999997</v>
      </c>
      <c r="P19" s="92">
        <f t="shared" si="9"/>
        <v>514.19999999999993</v>
      </c>
      <c r="Q19" s="39">
        <f t="shared" si="5"/>
        <v>17.713000000000001</v>
      </c>
      <c r="R19" s="144">
        <f t="shared" si="6"/>
        <v>4.1804878048780481</v>
      </c>
      <c r="S19" s="128">
        <f t="shared" si="10"/>
        <v>0.86048093271799853</v>
      </c>
      <c r="T19" s="145">
        <f t="shared" si="11"/>
        <v>2192.1999999999998</v>
      </c>
    </row>
    <row r="20" spans="1:72" ht="18.75">
      <c r="A20" s="7" t="s">
        <v>68</v>
      </c>
      <c r="B20" s="89">
        <v>183</v>
      </c>
      <c r="C20" s="51">
        <v>829.5</v>
      </c>
      <c r="D20" s="51">
        <v>249.4</v>
      </c>
      <c r="E20" s="42">
        <v>204.7</v>
      </c>
      <c r="F20" s="42">
        <v>135.80000000000001</v>
      </c>
      <c r="G20" s="42">
        <v>66.599999999999994</v>
      </c>
      <c r="H20" s="64"/>
      <c r="I20" s="64"/>
      <c r="J20" s="108">
        <v>45.4</v>
      </c>
      <c r="K20" s="6">
        <v>1269.7</v>
      </c>
      <c r="L20" s="123">
        <f t="shared" si="7"/>
        <v>2801.1</v>
      </c>
      <c r="M20" s="42">
        <v>19.399999999999999</v>
      </c>
      <c r="N20" s="39">
        <f t="shared" si="8"/>
        <v>407.1</v>
      </c>
      <c r="O20" s="42">
        <v>45.4</v>
      </c>
      <c r="P20" s="92">
        <f t="shared" si="9"/>
        <v>452.5</v>
      </c>
      <c r="Q20" s="39">
        <f t="shared" si="5"/>
        <v>15.307</v>
      </c>
      <c r="R20" s="144">
        <f t="shared" si="6"/>
        <v>2.4726775956284155</v>
      </c>
      <c r="S20" s="128">
        <f t="shared" si="10"/>
        <v>0.7435997085256254</v>
      </c>
      <c r="T20" s="145">
        <f t="shared" si="11"/>
        <v>2820.5</v>
      </c>
    </row>
    <row r="21" spans="1:72" ht="18.75">
      <c r="A21" s="7" t="s">
        <v>69</v>
      </c>
      <c r="B21" s="89">
        <v>173</v>
      </c>
      <c r="C21" s="51">
        <v>757.6</v>
      </c>
      <c r="D21" s="51">
        <v>227.8</v>
      </c>
      <c r="E21" s="42">
        <v>276.2</v>
      </c>
      <c r="F21" s="42">
        <v>185.7</v>
      </c>
      <c r="G21" s="42">
        <v>51.2</v>
      </c>
      <c r="H21" s="64"/>
      <c r="I21" s="64"/>
      <c r="J21" s="108">
        <v>45.4</v>
      </c>
      <c r="K21" s="6">
        <v>1132.7</v>
      </c>
      <c r="L21" s="123">
        <f t="shared" si="7"/>
        <v>2676.6</v>
      </c>
      <c r="M21" s="42">
        <v>16.899999999999999</v>
      </c>
      <c r="N21" s="39">
        <f t="shared" si="8"/>
        <v>513.1</v>
      </c>
      <c r="O21" s="42">
        <v>45.4</v>
      </c>
      <c r="P21" s="92">
        <f t="shared" si="9"/>
        <v>558.5</v>
      </c>
      <c r="Q21" s="39">
        <f t="shared" si="5"/>
        <v>15.472</v>
      </c>
      <c r="R21" s="144">
        <f t="shared" si="6"/>
        <v>3.2283236994219653</v>
      </c>
      <c r="S21" s="128">
        <f t="shared" si="10"/>
        <v>0.75161525382560113</v>
      </c>
      <c r="T21" s="145">
        <f t="shared" si="11"/>
        <v>2693.5</v>
      </c>
    </row>
    <row r="22" spans="1:72" ht="18.75">
      <c r="A22" s="7" t="s">
        <v>70</v>
      </c>
      <c r="B22" s="89">
        <v>207</v>
      </c>
      <c r="C22" s="51">
        <v>805.5</v>
      </c>
      <c r="D22" s="51">
        <v>242.2</v>
      </c>
      <c r="E22" s="42">
        <v>224.2</v>
      </c>
      <c r="F22" s="42">
        <v>208.3</v>
      </c>
      <c r="G22" s="42">
        <v>60.9</v>
      </c>
      <c r="H22" s="64"/>
      <c r="I22" s="64"/>
      <c r="J22" s="108">
        <v>45.4</v>
      </c>
      <c r="K22" s="6">
        <v>1438.6</v>
      </c>
      <c r="L22" s="123">
        <f t="shared" si="7"/>
        <v>3025.1</v>
      </c>
      <c r="M22" s="42">
        <v>23.3</v>
      </c>
      <c r="N22" s="39">
        <f t="shared" si="8"/>
        <v>493.4</v>
      </c>
      <c r="O22" s="42">
        <v>45.4</v>
      </c>
      <c r="P22" s="92">
        <f t="shared" si="9"/>
        <v>538.79999999999995</v>
      </c>
      <c r="Q22" s="39">
        <f t="shared" si="5"/>
        <v>14.614000000000001</v>
      </c>
      <c r="R22" s="144">
        <f t="shared" si="6"/>
        <v>2.6028985507246376</v>
      </c>
      <c r="S22" s="128">
        <f t="shared" si="10"/>
        <v>0.70993441826572745</v>
      </c>
      <c r="T22" s="145">
        <f t="shared" si="11"/>
        <v>3048.4</v>
      </c>
    </row>
    <row r="23" spans="1:72" ht="18.75">
      <c r="A23" s="7" t="s">
        <v>71</v>
      </c>
      <c r="B23" s="89">
        <v>203</v>
      </c>
      <c r="C23" s="51">
        <v>805.5</v>
      </c>
      <c r="D23" s="51">
        <v>242.2</v>
      </c>
      <c r="E23" s="42">
        <v>357.6</v>
      </c>
      <c r="F23" s="42">
        <v>230.9</v>
      </c>
      <c r="G23" s="42">
        <v>68.3</v>
      </c>
      <c r="H23" s="64"/>
      <c r="I23" s="64"/>
      <c r="J23" s="108">
        <v>45.4</v>
      </c>
      <c r="K23" s="6">
        <v>1423.7</v>
      </c>
      <c r="L23" s="123">
        <f t="shared" si="7"/>
        <v>3173.6</v>
      </c>
      <c r="M23" s="42">
        <v>20.399999999999999</v>
      </c>
      <c r="N23" s="39">
        <f t="shared" si="8"/>
        <v>656.8</v>
      </c>
      <c r="O23" s="42">
        <v>45.4</v>
      </c>
      <c r="P23" s="92">
        <f t="shared" si="9"/>
        <v>702.19999999999993</v>
      </c>
      <c r="Q23" s="39">
        <f t="shared" si="5"/>
        <v>15.632999999999999</v>
      </c>
      <c r="R23" s="144">
        <f t="shared" si="6"/>
        <v>3.4591133004926107</v>
      </c>
      <c r="S23" s="128">
        <f t="shared" si="10"/>
        <v>0.75943648287588039</v>
      </c>
      <c r="T23" s="145">
        <f t="shared" si="11"/>
        <v>3194</v>
      </c>
    </row>
    <row r="24" spans="1:72" ht="18.75">
      <c r="A24" s="7" t="s">
        <v>72</v>
      </c>
      <c r="B24" s="89">
        <v>188</v>
      </c>
      <c r="C24" s="51">
        <v>805.5</v>
      </c>
      <c r="D24" s="51">
        <v>242.2</v>
      </c>
      <c r="E24" s="42">
        <v>299.10000000000002</v>
      </c>
      <c r="F24" s="42">
        <v>185</v>
      </c>
      <c r="G24" s="42">
        <v>72.5</v>
      </c>
      <c r="H24" s="64"/>
      <c r="I24" s="64"/>
      <c r="J24" s="108">
        <v>45.4</v>
      </c>
      <c r="K24" s="6">
        <v>1364.5</v>
      </c>
      <c r="L24" s="123">
        <f t="shared" si="7"/>
        <v>3014.2</v>
      </c>
      <c r="M24" s="42">
        <v>21.4</v>
      </c>
      <c r="N24" s="39">
        <f t="shared" si="8"/>
        <v>556.6</v>
      </c>
      <c r="O24" s="42">
        <v>45.4</v>
      </c>
      <c r="P24" s="92">
        <f t="shared" si="9"/>
        <v>602</v>
      </c>
      <c r="Q24" s="39">
        <f t="shared" si="5"/>
        <v>16.033000000000001</v>
      </c>
      <c r="R24" s="144">
        <f t="shared" si="6"/>
        <v>3.2021276595744679</v>
      </c>
      <c r="S24" s="128">
        <f t="shared" si="10"/>
        <v>0.77886810784551863</v>
      </c>
      <c r="T24" s="145">
        <f t="shared" si="11"/>
        <v>3035.6</v>
      </c>
    </row>
    <row r="25" spans="1:72" ht="18.75">
      <c r="A25" s="7" t="s">
        <v>73</v>
      </c>
      <c r="B25" s="89">
        <v>180</v>
      </c>
      <c r="C25" s="51">
        <v>757.6</v>
      </c>
      <c r="D25" s="51">
        <v>227.8</v>
      </c>
      <c r="E25" s="42">
        <v>344.6</v>
      </c>
      <c r="F25" s="42">
        <v>192.7</v>
      </c>
      <c r="G25" s="42">
        <v>64.900000000000006</v>
      </c>
      <c r="H25" s="64"/>
      <c r="I25" s="64"/>
      <c r="J25" s="108">
        <v>45.4</v>
      </c>
      <c r="K25" s="6">
        <v>1110.5999999999999</v>
      </c>
      <c r="L25" s="123">
        <f t="shared" si="7"/>
        <v>2743.6</v>
      </c>
      <c r="M25" s="42">
        <v>30.8</v>
      </c>
      <c r="N25" s="39">
        <f t="shared" si="8"/>
        <v>602.19999999999993</v>
      </c>
      <c r="O25" s="42">
        <v>45.4</v>
      </c>
      <c r="P25" s="92">
        <f t="shared" si="9"/>
        <v>647.59999999999991</v>
      </c>
      <c r="Q25" s="39">
        <f t="shared" si="5"/>
        <v>15.242000000000001</v>
      </c>
      <c r="R25" s="144">
        <f t="shared" si="6"/>
        <v>3.5977777777777771</v>
      </c>
      <c r="S25" s="128">
        <f t="shared" si="10"/>
        <v>0.74044206946805924</v>
      </c>
      <c r="T25" s="145">
        <f t="shared" si="11"/>
        <v>2774.4</v>
      </c>
    </row>
    <row r="26" spans="1:72" s="107" customFormat="1" ht="18.75">
      <c r="A26" s="120">
        <v>75</v>
      </c>
      <c r="B26" s="106">
        <v>93</v>
      </c>
      <c r="C26" s="52">
        <v>757.6</v>
      </c>
      <c r="D26" s="52">
        <v>227.8</v>
      </c>
      <c r="E26" s="42">
        <v>292.60000000000002</v>
      </c>
      <c r="F26" s="42">
        <v>197.4</v>
      </c>
      <c r="G26" s="42">
        <v>55.9</v>
      </c>
      <c r="H26" s="66"/>
      <c r="I26" s="66"/>
      <c r="J26" s="96">
        <v>45.4</v>
      </c>
      <c r="K26" s="97">
        <v>719.9</v>
      </c>
      <c r="L26" s="123">
        <f t="shared" si="7"/>
        <v>2296.6</v>
      </c>
      <c r="M26" s="42">
        <v>23.6</v>
      </c>
      <c r="N26" s="39">
        <f t="shared" si="8"/>
        <v>545.9</v>
      </c>
      <c r="O26" s="44">
        <v>45.4</v>
      </c>
      <c r="P26" s="92">
        <f t="shared" si="9"/>
        <v>591.29999999999995</v>
      </c>
      <c r="Q26" s="39">
        <f t="shared" si="5"/>
        <v>24.695</v>
      </c>
      <c r="R26" s="144">
        <f t="shared" si="6"/>
        <v>6.3580645161290317</v>
      </c>
      <c r="S26" s="128">
        <f t="shared" si="10"/>
        <v>1.1996599465630313</v>
      </c>
      <c r="T26" s="145">
        <f t="shared" si="11"/>
        <v>2320.1999999999998</v>
      </c>
      <c r="U26" s="80"/>
      <c r="V26" s="80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</row>
    <row r="27" spans="1:72" s="107" customFormat="1" ht="18.75">
      <c r="A27" s="120">
        <v>80</v>
      </c>
      <c r="B27" s="106">
        <v>360</v>
      </c>
      <c r="C27" s="52">
        <v>1563.2</v>
      </c>
      <c r="D27" s="52">
        <v>470</v>
      </c>
      <c r="E27" s="42">
        <v>660.3</v>
      </c>
      <c r="F27" s="42">
        <v>561.9</v>
      </c>
      <c r="G27" s="42">
        <v>118.80000000000001</v>
      </c>
      <c r="H27" s="66"/>
      <c r="I27" s="66"/>
      <c r="J27" s="90">
        <v>70.5</v>
      </c>
      <c r="K27" s="107">
        <v>2505.6</v>
      </c>
      <c r="L27" s="123">
        <f t="shared" si="7"/>
        <v>5950.3</v>
      </c>
      <c r="M27" s="42">
        <v>24.8</v>
      </c>
      <c r="N27" s="39">
        <f t="shared" si="8"/>
        <v>1340.9999999999998</v>
      </c>
      <c r="O27" s="90">
        <v>70.5</v>
      </c>
      <c r="P27" s="92">
        <f t="shared" si="9"/>
        <v>1411.4999999999998</v>
      </c>
      <c r="Q27" s="39">
        <f t="shared" si="5"/>
        <v>16.529</v>
      </c>
      <c r="R27" s="144">
        <f t="shared" si="6"/>
        <v>3.9208333333333325</v>
      </c>
      <c r="S27" s="128">
        <f t="shared" si="10"/>
        <v>0.80296332280786975</v>
      </c>
      <c r="T27" s="145">
        <f t="shared" si="11"/>
        <v>5975.1</v>
      </c>
      <c r="U27" s="80"/>
      <c r="V27" s="80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</row>
    <row r="28" spans="1:72" ht="18.75">
      <c r="A28" s="7" t="s">
        <v>74</v>
      </c>
      <c r="B28" s="89">
        <v>166</v>
      </c>
      <c r="C28" s="51">
        <v>757.6</v>
      </c>
      <c r="D28" s="51">
        <v>227.8</v>
      </c>
      <c r="E28" s="42">
        <v>394.2</v>
      </c>
      <c r="F28" s="42">
        <v>193.2</v>
      </c>
      <c r="G28" s="42">
        <v>53.599999999999994</v>
      </c>
      <c r="H28" s="64"/>
      <c r="I28" s="64"/>
      <c r="J28" s="108">
        <v>44.2</v>
      </c>
      <c r="K28" s="6">
        <v>1028.7</v>
      </c>
      <c r="L28" s="123">
        <f t="shared" si="7"/>
        <v>2699.3</v>
      </c>
      <c r="M28" s="42">
        <v>22.1</v>
      </c>
      <c r="N28" s="39">
        <f t="shared" si="8"/>
        <v>641</v>
      </c>
      <c r="O28" s="42">
        <v>44.2</v>
      </c>
      <c r="P28" s="92">
        <f t="shared" si="9"/>
        <v>685.2</v>
      </c>
      <c r="Q28" s="39">
        <f t="shared" si="5"/>
        <v>16.260999999999999</v>
      </c>
      <c r="R28" s="144">
        <f t="shared" si="6"/>
        <v>4.1277108433734941</v>
      </c>
      <c r="S28" s="128">
        <f t="shared" si="10"/>
        <v>0.78994413407821218</v>
      </c>
      <c r="T28" s="145">
        <f t="shared" si="11"/>
        <v>2721.4</v>
      </c>
    </row>
    <row r="29" spans="1:72" s="107" customFormat="1" ht="18.75">
      <c r="A29" s="120">
        <v>85</v>
      </c>
      <c r="B29" s="106">
        <v>87</v>
      </c>
      <c r="C29" s="52">
        <v>757.6</v>
      </c>
      <c r="D29" s="52">
        <v>227.8</v>
      </c>
      <c r="E29" s="42">
        <v>273.10000000000002</v>
      </c>
      <c r="F29" s="42">
        <v>199.4</v>
      </c>
      <c r="G29" s="42">
        <v>44</v>
      </c>
      <c r="H29" s="66"/>
      <c r="I29" s="66"/>
      <c r="J29" s="96">
        <v>45.4</v>
      </c>
      <c r="K29" s="97">
        <v>857.5</v>
      </c>
      <c r="L29" s="123">
        <f t="shared" si="7"/>
        <v>2404.8000000000002</v>
      </c>
      <c r="M29" s="42">
        <v>26.9</v>
      </c>
      <c r="N29" s="39">
        <f t="shared" si="8"/>
        <v>516.5</v>
      </c>
      <c r="O29" s="44">
        <v>45.4</v>
      </c>
      <c r="P29" s="92">
        <f t="shared" si="9"/>
        <v>561.9</v>
      </c>
      <c r="Q29" s="39">
        <f t="shared" si="5"/>
        <v>27.640999999999998</v>
      </c>
      <c r="R29" s="144">
        <f t="shared" si="6"/>
        <v>6.4586206896551719</v>
      </c>
      <c r="S29" s="128">
        <f t="shared" si="10"/>
        <v>1.3427738644644156</v>
      </c>
      <c r="T29" s="145">
        <f t="shared" si="11"/>
        <v>2431.7000000000003</v>
      </c>
      <c r="U29" s="80"/>
      <c r="V29" s="80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</row>
    <row r="30" spans="1:72" s="107" customFormat="1" ht="18.75">
      <c r="A30" s="120">
        <v>104</v>
      </c>
      <c r="B30" s="106">
        <v>270</v>
      </c>
      <c r="C30" s="52">
        <v>1045.2</v>
      </c>
      <c r="D30" s="52">
        <v>314.2</v>
      </c>
      <c r="E30" s="42">
        <v>442</v>
      </c>
      <c r="F30" s="42">
        <v>453.4</v>
      </c>
      <c r="G30" s="42">
        <v>134.60000000000002</v>
      </c>
      <c r="H30" s="66"/>
      <c r="I30" s="66"/>
      <c r="J30" s="96">
        <v>52.2</v>
      </c>
      <c r="K30" s="97">
        <v>1823.3</v>
      </c>
      <c r="L30" s="123">
        <f t="shared" si="7"/>
        <v>4264.8999999999996</v>
      </c>
      <c r="M30" s="42">
        <v>45.8</v>
      </c>
      <c r="N30" s="39">
        <f t="shared" si="8"/>
        <v>1030</v>
      </c>
      <c r="O30" s="44">
        <v>52.2</v>
      </c>
      <c r="P30" s="92">
        <f t="shared" si="9"/>
        <v>1082.2</v>
      </c>
      <c r="Q30" s="39">
        <f t="shared" si="5"/>
        <v>15.795999999999999</v>
      </c>
      <c r="R30" s="144">
        <f t="shared" si="6"/>
        <v>4.0081481481481482</v>
      </c>
      <c r="S30" s="128">
        <f t="shared" si="10"/>
        <v>0.767354870051008</v>
      </c>
      <c r="T30" s="145">
        <f t="shared" si="11"/>
        <v>4310.7</v>
      </c>
      <c r="U30" s="80"/>
      <c r="V30" s="80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</row>
    <row r="31" spans="1:72" s="107" customFormat="1" ht="18.75">
      <c r="A31" s="120">
        <v>106</v>
      </c>
      <c r="B31" s="106">
        <v>66</v>
      </c>
      <c r="C31" s="52">
        <v>709.6</v>
      </c>
      <c r="D31" s="52">
        <v>213.3</v>
      </c>
      <c r="E31" s="42">
        <v>217.8</v>
      </c>
      <c r="F31" s="42">
        <v>143.80000000000001</v>
      </c>
      <c r="G31" s="42">
        <v>40.299999999999997</v>
      </c>
      <c r="H31" s="66"/>
      <c r="I31" s="66"/>
      <c r="J31" s="96">
        <v>38.299999999999997</v>
      </c>
      <c r="K31" s="97">
        <v>498.4</v>
      </c>
      <c r="L31" s="123">
        <f t="shared" si="7"/>
        <v>1861.5</v>
      </c>
      <c r="M31" s="42">
        <v>15.3</v>
      </c>
      <c r="N31" s="39">
        <f t="shared" si="8"/>
        <v>401.90000000000003</v>
      </c>
      <c r="O31" s="44">
        <v>38.299999999999997</v>
      </c>
      <c r="P31" s="92">
        <f t="shared" si="9"/>
        <v>440.20000000000005</v>
      </c>
      <c r="Q31" s="39">
        <f t="shared" si="5"/>
        <v>28.204999999999998</v>
      </c>
      <c r="R31" s="144">
        <f t="shared" si="6"/>
        <v>6.6696969696969708</v>
      </c>
      <c r="S31" s="128">
        <f t="shared" si="10"/>
        <v>1.3701724556716055</v>
      </c>
      <c r="T31" s="145">
        <f t="shared" si="11"/>
        <v>1876.8</v>
      </c>
      <c r="U31" s="80"/>
      <c r="V31" s="80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</row>
    <row r="32" spans="1:72" ht="18.75">
      <c r="A32" s="7" t="s">
        <v>75</v>
      </c>
      <c r="B32" s="89">
        <v>308</v>
      </c>
      <c r="C32" s="51">
        <v>1515.2</v>
      </c>
      <c r="D32" s="51">
        <v>455.5</v>
      </c>
      <c r="E32" s="42">
        <v>533.20000000000005</v>
      </c>
      <c r="F32" s="42">
        <v>513.1</v>
      </c>
      <c r="G32" s="42">
        <v>127.7</v>
      </c>
      <c r="H32" s="64"/>
      <c r="I32" s="64"/>
      <c r="J32" s="108">
        <v>64</v>
      </c>
      <c r="K32" s="6">
        <v>2052.8000000000002</v>
      </c>
      <c r="L32" s="123">
        <f t="shared" si="7"/>
        <v>5261.5</v>
      </c>
      <c r="M32" s="42">
        <v>55.4</v>
      </c>
      <c r="N32" s="39">
        <f t="shared" si="8"/>
        <v>1174.0000000000002</v>
      </c>
      <c r="O32" s="42">
        <v>64</v>
      </c>
      <c r="P32" s="92">
        <f t="shared" si="9"/>
        <v>1238.0000000000002</v>
      </c>
      <c r="Q32" s="39">
        <f t="shared" si="5"/>
        <v>17.082999999999998</v>
      </c>
      <c r="R32" s="144">
        <f t="shared" si="6"/>
        <v>4.0194805194805205</v>
      </c>
      <c r="S32" s="128">
        <f t="shared" si="10"/>
        <v>0.8298761233908184</v>
      </c>
      <c r="T32" s="145">
        <f t="shared" si="11"/>
        <v>5316.9</v>
      </c>
    </row>
    <row r="33" spans="1:72" ht="18.75">
      <c r="A33" s="7" t="s">
        <v>76</v>
      </c>
      <c r="B33" s="89">
        <v>176</v>
      </c>
      <c r="C33" s="51">
        <v>757.6</v>
      </c>
      <c r="D33" s="51">
        <v>227.8</v>
      </c>
      <c r="E33" s="42">
        <v>312</v>
      </c>
      <c r="F33" s="42">
        <v>262.7</v>
      </c>
      <c r="G33" s="42">
        <v>139.69999999999999</v>
      </c>
      <c r="H33" s="64"/>
      <c r="I33" s="64"/>
      <c r="J33" s="108">
        <v>45.4</v>
      </c>
      <c r="K33" s="6">
        <v>1159.2</v>
      </c>
      <c r="L33" s="123">
        <f t="shared" si="7"/>
        <v>2904.4</v>
      </c>
      <c r="M33" s="42">
        <v>19</v>
      </c>
      <c r="N33" s="39">
        <f t="shared" si="8"/>
        <v>714.40000000000009</v>
      </c>
      <c r="O33" s="42">
        <v>45.4</v>
      </c>
      <c r="P33" s="92">
        <f t="shared" si="9"/>
        <v>759.80000000000007</v>
      </c>
      <c r="Q33" s="39">
        <f t="shared" si="5"/>
        <v>16.501999999999999</v>
      </c>
      <c r="R33" s="144">
        <f t="shared" si="6"/>
        <v>4.3170454545454549</v>
      </c>
      <c r="S33" s="128">
        <f t="shared" si="10"/>
        <v>0.80165168812241916</v>
      </c>
      <c r="T33" s="145">
        <f t="shared" si="11"/>
        <v>2923.4</v>
      </c>
    </row>
    <row r="34" spans="1:72" s="107" customFormat="1" ht="18.75">
      <c r="A34" s="120">
        <v>123</v>
      </c>
      <c r="B34" s="106">
        <v>181</v>
      </c>
      <c r="C34" s="52">
        <v>805.5</v>
      </c>
      <c r="D34" s="52">
        <v>242.2</v>
      </c>
      <c r="E34" s="42">
        <v>396.6</v>
      </c>
      <c r="F34" s="42">
        <v>233.5</v>
      </c>
      <c r="G34" s="42">
        <v>73.099999999999994</v>
      </c>
      <c r="H34" s="66"/>
      <c r="I34" s="66"/>
      <c r="J34" s="96">
        <v>45.4</v>
      </c>
      <c r="K34" s="97">
        <v>1134.5999999999999</v>
      </c>
      <c r="L34" s="123">
        <f t="shared" si="7"/>
        <v>2930.9</v>
      </c>
      <c r="M34" s="42">
        <v>20</v>
      </c>
      <c r="N34" s="39">
        <f t="shared" si="8"/>
        <v>703.2</v>
      </c>
      <c r="O34" s="44">
        <v>45.4</v>
      </c>
      <c r="P34" s="92">
        <f t="shared" si="9"/>
        <v>748.6</v>
      </c>
      <c r="Q34" s="39">
        <f t="shared" si="5"/>
        <v>16.193000000000001</v>
      </c>
      <c r="R34" s="144">
        <f t="shared" si="6"/>
        <v>4.1359116022099451</v>
      </c>
      <c r="S34" s="128">
        <f t="shared" si="10"/>
        <v>0.78664075783337384</v>
      </c>
      <c r="T34" s="145">
        <f t="shared" si="11"/>
        <v>2950.9</v>
      </c>
      <c r="U34" s="80"/>
      <c r="V34" s="80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</row>
    <row r="35" spans="1:72" ht="18.75">
      <c r="A35" s="7" t="s">
        <v>77</v>
      </c>
      <c r="B35" s="89">
        <v>215</v>
      </c>
      <c r="C35" s="51">
        <v>805.5</v>
      </c>
      <c r="D35" s="51">
        <v>242.2</v>
      </c>
      <c r="E35" s="42">
        <v>308.8</v>
      </c>
      <c r="F35" s="42">
        <v>306.2</v>
      </c>
      <c r="G35" s="42">
        <v>52.2</v>
      </c>
      <c r="H35" s="42"/>
      <c r="I35" s="42"/>
      <c r="J35" s="108">
        <v>45.4</v>
      </c>
      <c r="K35" s="6">
        <v>1352.3</v>
      </c>
      <c r="L35" s="123">
        <f t="shared" si="7"/>
        <v>3112.6</v>
      </c>
      <c r="M35" s="42">
        <v>28.2</v>
      </c>
      <c r="N35" s="39">
        <f t="shared" si="8"/>
        <v>667.2</v>
      </c>
      <c r="O35" s="42">
        <v>45.4</v>
      </c>
      <c r="P35" s="92">
        <f t="shared" si="9"/>
        <v>712.6</v>
      </c>
      <c r="Q35" s="39">
        <f t="shared" si="5"/>
        <v>14.477</v>
      </c>
      <c r="R35" s="144">
        <f t="shared" si="6"/>
        <v>3.3144186046511628</v>
      </c>
      <c r="S35" s="128">
        <f t="shared" si="10"/>
        <v>0.70327908671362638</v>
      </c>
      <c r="T35" s="145">
        <f t="shared" si="11"/>
        <v>3140.7999999999997</v>
      </c>
    </row>
    <row r="36" spans="1:72" ht="18.75">
      <c r="A36" s="7" t="s">
        <v>78</v>
      </c>
      <c r="B36" s="89">
        <v>177</v>
      </c>
      <c r="C36" s="51">
        <v>805.5</v>
      </c>
      <c r="D36" s="51">
        <v>242.2</v>
      </c>
      <c r="E36" s="42">
        <v>357.6</v>
      </c>
      <c r="F36" s="42">
        <v>254.3</v>
      </c>
      <c r="G36" s="42">
        <v>103.19999999999999</v>
      </c>
      <c r="H36" s="64"/>
      <c r="I36" s="64"/>
      <c r="J36" s="108">
        <v>45.4</v>
      </c>
      <c r="K36" s="6">
        <v>1081.9000000000001</v>
      </c>
      <c r="L36" s="123">
        <f t="shared" si="7"/>
        <v>2890.1</v>
      </c>
      <c r="M36" s="42">
        <v>24.8</v>
      </c>
      <c r="N36" s="39">
        <f t="shared" si="8"/>
        <v>715.10000000000014</v>
      </c>
      <c r="O36" s="42">
        <v>45.4</v>
      </c>
      <c r="P36" s="92">
        <f t="shared" si="9"/>
        <v>760.50000000000011</v>
      </c>
      <c r="Q36" s="39">
        <f t="shared" si="5"/>
        <v>16.327999999999999</v>
      </c>
      <c r="R36" s="144">
        <f t="shared" si="6"/>
        <v>4.296610169491526</v>
      </c>
      <c r="S36" s="128">
        <f t="shared" si="10"/>
        <v>0.79319893126062657</v>
      </c>
      <c r="T36" s="145">
        <f t="shared" si="11"/>
        <v>2914.9</v>
      </c>
    </row>
    <row r="37" spans="1:72" ht="18.75">
      <c r="A37" s="7" t="s">
        <v>79</v>
      </c>
      <c r="B37" s="89">
        <v>179</v>
      </c>
      <c r="C37" s="51">
        <v>757.6</v>
      </c>
      <c r="D37" s="51">
        <v>227.8</v>
      </c>
      <c r="E37" s="42">
        <v>391.7</v>
      </c>
      <c r="F37" s="42">
        <v>252.7</v>
      </c>
      <c r="G37" s="42">
        <v>85</v>
      </c>
      <c r="H37" s="64"/>
      <c r="I37" s="64"/>
      <c r="J37" s="108">
        <v>45.4</v>
      </c>
      <c r="K37" s="6">
        <v>1229.4000000000001</v>
      </c>
      <c r="L37" s="123">
        <f t="shared" si="7"/>
        <v>2989.6</v>
      </c>
      <c r="M37" s="42">
        <v>55.8</v>
      </c>
      <c r="N37" s="39">
        <f t="shared" si="8"/>
        <v>729.4</v>
      </c>
      <c r="O37" s="42">
        <v>45.4</v>
      </c>
      <c r="P37" s="92">
        <f t="shared" si="9"/>
        <v>774.8</v>
      </c>
      <c r="Q37" s="39">
        <f t="shared" si="5"/>
        <v>16.702000000000002</v>
      </c>
      <c r="R37" s="144">
        <f t="shared" si="6"/>
        <v>4.3284916201117314</v>
      </c>
      <c r="S37" s="128">
        <f t="shared" si="10"/>
        <v>0.81136750060723828</v>
      </c>
      <c r="T37" s="145">
        <f t="shared" si="11"/>
        <v>3045.4</v>
      </c>
    </row>
    <row r="38" spans="1:72" s="107" customFormat="1" ht="18.75">
      <c r="A38" s="120">
        <v>139</v>
      </c>
      <c r="B38" s="106">
        <v>92</v>
      </c>
      <c r="C38" s="52">
        <v>757.6</v>
      </c>
      <c r="D38" s="52">
        <v>227.8</v>
      </c>
      <c r="E38" s="42">
        <v>338</v>
      </c>
      <c r="F38" s="42">
        <v>200.7</v>
      </c>
      <c r="G38" s="42">
        <v>51</v>
      </c>
      <c r="H38" s="66"/>
      <c r="I38" s="66"/>
      <c r="J38" s="96">
        <v>45.4</v>
      </c>
      <c r="K38" s="97">
        <v>726.4</v>
      </c>
      <c r="L38" s="123">
        <f t="shared" si="7"/>
        <v>2346.9</v>
      </c>
      <c r="M38" s="42">
        <v>25.3</v>
      </c>
      <c r="N38" s="39">
        <f t="shared" si="8"/>
        <v>589.70000000000005</v>
      </c>
      <c r="O38" s="44">
        <v>45.4</v>
      </c>
      <c r="P38" s="92">
        <f t="shared" si="9"/>
        <v>635.1</v>
      </c>
      <c r="Q38" s="39">
        <f t="shared" si="5"/>
        <v>25.51</v>
      </c>
      <c r="R38" s="144">
        <f t="shared" si="6"/>
        <v>6.9032608695652176</v>
      </c>
      <c r="S38" s="128">
        <f t="shared" si="10"/>
        <v>1.2392518824386689</v>
      </c>
      <c r="T38" s="145">
        <f t="shared" si="11"/>
        <v>2372.2000000000003</v>
      </c>
      <c r="U38" s="80"/>
      <c r="V38" s="80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</row>
    <row r="39" spans="1:72" ht="18.75">
      <c r="A39" s="7" t="s">
        <v>80</v>
      </c>
      <c r="B39" s="89">
        <v>212</v>
      </c>
      <c r="C39" s="51">
        <v>901.4</v>
      </c>
      <c r="D39" s="51">
        <v>271</v>
      </c>
      <c r="E39" s="42">
        <v>581.4</v>
      </c>
      <c r="F39" s="42">
        <v>321.2</v>
      </c>
      <c r="G39" s="42">
        <v>99.3</v>
      </c>
      <c r="H39" s="64"/>
      <c r="I39" s="64"/>
      <c r="J39" s="108">
        <v>45.4</v>
      </c>
      <c r="K39" s="6">
        <v>1285.4000000000001</v>
      </c>
      <c r="L39" s="123">
        <f t="shared" si="7"/>
        <v>3505.1</v>
      </c>
      <c r="M39" s="42">
        <v>26.5</v>
      </c>
      <c r="N39" s="39">
        <f t="shared" si="8"/>
        <v>1001.8999999999999</v>
      </c>
      <c r="O39" s="42">
        <v>45.4</v>
      </c>
      <c r="P39" s="92">
        <f t="shared" si="9"/>
        <v>1047.3</v>
      </c>
      <c r="Q39" s="39">
        <f t="shared" si="5"/>
        <v>16.533000000000001</v>
      </c>
      <c r="R39" s="144">
        <f t="shared" si="6"/>
        <v>4.9400943396226413</v>
      </c>
      <c r="S39" s="128">
        <f t="shared" si="10"/>
        <v>0.80315763905756621</v>
      </c>
      <c r="T39" s="145">
        <f t="shared" si="11"/>
        <v>3531.6</v>
      </c>
    </row>
    <row r="40" spans="1:72" ht="18.75">
      <c r="A40" s="7" t="s">
        <v>81</v>
      </c>
      <c r="B40" s="89">
        <v>179</v>
      </c>
      <c r="C40" s="51">
        <v>757.6</v>
      </c>
      <c r="D40" s="51">
        <v>227.8</v>
      </c>
      <c r="E40" s="42">
        <v>338</v>
      </c>
      <c r="F40" s="42">
        <v>286</v>
      </c>
      <c r="G40" s="42">
        <v>88.4</v>
      </c>
      <c r="H40" s="64"/>
      <c r="I40" s="64"/>
      <c r="J40" s="108">
        <v>45.4</v>
      </c>
      <c r="K40" s="6">
        <v>1268.3</v>
      </c>
      <c r="L40" s="123">
        <f t="shared" si="7"/>
        <v>3011.5</v>
      </c>
      <c r="M40" s="42">
        <v>32.299999999999997</v>
      </c>
      <c r="N40" s="39">
        <f t="shared" si="8"/>
        <v>712.4</v>
      </c>
      <c r="O40" s="42">
        <v>45.4</v>
      </c>
      <c r="P40" s="92">
        <f t="shared" si="9"/>
        <v>757.8</v>
      </c>
      <c r="Q40" s="39">
        <f t="shared" si="5"/>
        <v>16.824000000000002</v>
      </c>
      <c r="R40" s="144">
        <f t="shared" si="6"/>
        <v>4.2335195530726253</v>
      </c>
      <c r="S40" s="128">
        <f t="shared" si="10"/>
        <v>0.81729414622297791</v>
      </c>
      <c r="T40" s="145">
        <f t="shared" si="11"/>
        <v>3043.8</v>
      </c>
    </row>
    <row r="41" spans="1:72" ht="18.75">
      <c r="A41" s="7" t="s">
        <v>82</v>
      </c>
      <c r="B41" s="89">
        <v>195</v>
      </c>
      <c r="C41" s="51">
        <v>805.5</v>
      </c>
      <c r="D41" s="51">
        <v>242.2</v>
      </c>
      <c r="E41" s="42">
        <v>279.5</v>
      </c>
      <c r="F41" s="42">
        <v>242.2</v>
      </c>
      <c r="G41" s="42">
        <v>85.3</v>
      </c>
      <c r="H41" s="64"/>
      <c r="I41" s="64"/>
      <c r="J41" s="108">
        <v>45.4</v>
      </c>
      <c r="K41" s="6">
        <v>1270.4000000000001</v>
      </c>
      <c r="L41" s="123">
        <f t="shared" si="7"/>
        <v>2970.5</v>
      </c>
      <c r="M41" s="42">
        <v>30.6</v>
      </c>
      <c r="N41" s="39">
        <f t="shared" si="8"/>
        <v>607</v>
      </c>
      <c r="O41" s="42">
        <v>45.4</v>
      </c>
      <c r="P41" s="92">
        <f t="shared" si="9"/>
        <v>652.4</v>
      </c>
      <c r="Q41" s="39">
        <f t="shared" si="5"/>
        <v>15.233000000000001</v>
      </c>
      <c r="R41" s="144">
        <f t="shared" si="6"/>
        <v>3.3456410256410254</v>
      </c>
      <c r="S41" s="128">
        <f t="shared" si="10"/>
        <v>0.74000485790624237</v>
      </c>
      <c r="T41" s="145">
        <f t="shared" si="11"/>
        <v>3001.1</v>
      </c>
    </row>
    <row r="42" spans="1:72" s="107" customFormat="1" ht="18.75">
      <c r="A42" s="120">
        <v>153</v>
      </c>
      <c r="B42" s="106">
        <v>177</v>
      </c>
      <c r="C42" s="52">
        <v>853.4</v>
      </c>
      <c r="D42" s="52">
        <v>256.60000000000002</v>
      </c>
      <c r="E42" s="42">
        <v>355.8</v>
      </c>
      <c r="F42" s="42">
        <v>224.5</v>
      </c>
      <c r="G42" s="42">
        <v>73.2</v>
      </c>
      <c r="H42" s="66"/>
      <c r="I42" s="66"/>
      <c r="J42" s="96">
        <v>45.4</v>
      </c>
      <c r="K42" s="97">
        <v>1225.4000000000001</v>
      </c>
      <c r="L42" s="123">
        <f t="shared" si="7"/>
        <v>3034.3</v>
      </c>
      <c r="M42" s="42">
        <v>30.9</v>
      </c>
      <c r="N42" s="39">
        <f t="shared" si="8"/>
        <v>653.5</v>
      </c>
      <c r="O42" s="44">
        <v>45.4</v>
      </c>
      <c r="P42" s="92">
        <f t="shared" si="9"/>
        <v>698.9</v>
      </c>
      <c r="Q42" s="39">
        <f t="shared" si="5"/>
        <v>17.143000000000001</v>
      </c>
      <c r="R42" s="144">
        <f t="shared" si="6"/>
        <v>3.9485875706214686</v>
      </c>
      <c r="S42" s="128">
        <f t="shared" si="10"/>
        <v>0.83279086713626427</v>
      </c>
      <c r="T42" s="145">
        <f t="shared" si="11"/>
        <v>3065.2000000000003</v>
      </c>
      <c r="U42" s="80"/>
      <c r="V42" s="80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</row>
    <row r="43" spans="1:72" ht="18.75">
      <c r="A43" s="7" t="s">
        <v>83</v>
      </c>
      <c r="B43" s="89">
        <v>195</v>
      </c>
      <c r="C43" s="51">
        <v>829.5</v>
      </c>
      <c r="D43" s="51">
        <v>249.4</v>
      </c>
      <c r="E43" s="42">
        <v>372.3</v>
      </c>
      <c r="F43" s="42">
        <v>230.8</v>
      </c>
      <c r="G43" s="42">
        <v>76.2</v>
      </c>
      <c r="H43" s="64"/>
      <c r="I43" s="64"/>
      <c r="J43" s="108">
        <v>45.4</v>
      </c>
      <c r="K43" s="6">
        <v>1210.0999999999999</v>
      </c>
      <c r="L43" s="123">
        <f t="shared" si="7"/>
        <v>3013.7</v>
      </c>
      <c r="M43" s="42">
        <v>31</v>
      </c>
      <c r="N43" s="39">
        <f t="shared" si="8"/>
        <v>679.30000000000007</v>
      </c>
      <c r="O43" s="42">
        <v>45.4</v>
      </c>
      <c r="P43" s="92">
        <f t="shared" si="9"/>
        <v>724.7</v>
      </c>
      <c r="Q43" s="39">
        <f t="shared" si="5"/>
        <v>15.455</v>
      </c>
      <c r="R43" s="144">
        <f t="shared" si="6"/>
        <v>3.7164102564102568</v>
      </c>
      <c r="S43" s="128">
        <f t="shared" si="10"/>
        <v>0.75078940976439157</v>
      </c>
      <c r="T43" s="145">
        <f t="shared" si="11"/>
        <v>3044.7</v>
      </c>
    </row>
    <row r="44" spans="1:72" ht="18.75">
      <c r="A44" s="7" t="s">
        <v>84</v>
      </c>
      <c r="B44" s="89">
        <v>179</v>
      </c>
      <c r="C44" s="51">
        <v>757.6</v>
      </c>
      <c r="D44" s="51">
        <v>227.8</v>
      </c>
      <c r="E44" s="42">
        <v>357.6</v>
      </c>
      <c r="F44" s="42">
        <v>359.5</v>
      </c>
      <c r="G44" s="42">
        <v>95.6</v>
      </c>
      <c r="H44" s="64"/>
      <c r="I44" s="64"/>
      <c r="J44" s="108">
        <v>45.4</v>
      </c>
      <c r="K44" s="6">
        <v>1234.5999999999999</v>
      </c>
      <c r="L44" s="123">
        <f t="shared" si="7"/>
        <v>3078.1</v>
      </c>
      <c r="M44" s="42">
        <v>33.6</v>
      </c>
      <c r="N44" s="39">
        <f t="shared" si="8"/>
        <v>812.7</v>
      </c>
      <c r="O44" s="42">
        <v>45.4</v>
      </c>
      <c r="P44" s="92">
        <f t="shared" si="9"/>
        <v>858.1</v>
      </c>
      <c r="Q44" s="39">
        <f t="shared" si="5"/>
        <v>17.196000000000002</v>
      </c>
      <c r="R44" s="144">
        <f t="shared" si="6"/>
        <v>4.7938547486033523</v>
      </c>
      <c r="S44" s="128">
        <f t="shared" si="10"/>
        <v>0.83536555744474139</v>
      </c>
      <c r="T44" s="145">
        <f t="shared" si="11"/>
        <v>3111.7</v>
      </c>
    </row>
    <row r="45" spans="1:72" s="107" customFormat="1" ht="18.75">
      <c r="A45" s="120">
        <v>167</v>
      </c>
      <c r="B45" s="106">
        <v>179</v>
      </c>
      <c r="C45" s="52">
        <v>829.5</v>
      </c>
      <c r="D45" s="52">
        <v>249.4</v>
      </c>
      <c r="E45" s="42">
        <v>382.6</v>
      </c>
      <c r="F45" s="42">
        <v>321.5</v>
      </c>
      <c r="G45" s="42">
        <v>84.5</v>
      </c>
      <c r="H45" s="66"/>
      <c r="I45" s="66"/>
      <c r="J45" s="96">
        <v>45.4</v>
      </c>
      <c r="K45" s="97">
        <v>1128.8</v>
      </c>
      <c r="L45" s="123">
        <f t="shared" si="7"/>
        <v>3041.7</v>
      </c>
      <c r="M45" s="42">
        <v>29</v>
      </c>
      <c r="N45" s="39">
        <f t="shared" si="8"/>
        <v>788.6</v>
      </c>
      <c r="O45" s="44">
        <v>45.4</v>
      </c>
      <c r="P45" s="92">
        <f t="shared" si="9"/>
        <v>834</v>
      </c>
      <c r="Q45" s="39">
        <f t="shared" si="5"/>
        <v>16.992999999999999</v>
      </c>
      <c r="R45" s="144">
        <f t="shared" si="6"/>
        <v>4.6592178770949717</v>
      </c>
      <c r="S45" s="128">
        <f t="shared" si="10"/>
        <v>0.82550400777264987</v>
      </c>
      <c r="T45" s="145">
        <f t="shared" si="11"/>
        <v>3070.7</v>
      </c>
      <c r="U45" s="80"/>
      <c r="V45" s="80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</row>
    <row r="46" spans="1:72" ht="18.75">
      <c r="A46" s="7" t="s">
        <v>85</v>
      </c>
      <c r="B46" s="89">
        <v>230</v>
      </c>
      <c r="C46" s="51">
        <v>829.5</v>
      </c>
      <c r="D46" s="51">
        <v>249.4</v>
      </c>
      <c r="E46" s="42">
        <v>351</v>
      </c>
      <c r="F46" s="42">
        <v>296.90000000000003</v>
      </c>
      <c r="G46" s="42">
        <v>138.69999999999999</v>
      </c>
      <c r="H46" s="64"/>
      <c r="I46" s="64"/>
      <c r="J46" s="108">
        <v>45.4</v>
      </c>
      <c r="K46" s="6">
        <v>1536.8</v>
      </c>
      <c r="L46" s="123">
        <f t="shared" si="7"/>
        <v>3447.7</v>
      </c>
      <c r="M46" s="42">
        <v>74.8</v>
      </c>
      <c r="N46" s="39">
        <f t="shared" si="8"/>
        <v>786.60000000000014</v>
      </c>
      <c r="O46" s="42">
        <v>45.4</v>
      </c>
      <c r="P46" s="92">
        <f t="shared" si="9"/>
        <v>832.00000000000011</v>
      </c>
      <c r="Q46" s="39">
        <f t="shared" si="5"/>
        <v>14.99</v>
      </c>
      <c r="R46" s="144">
        <f t="shared" si="6"/>
        <v>3.6173913043478265</v>
      </c>
      <c r="S46" s="128">
        <f t="shared" si="10"/>
        <v>0.72820014573718728</v>
      </c>
      <c r="T46" s="145">
        <f t="shared" si="11"/>
        <v>3522.5</v>
      </c>
    </row>
    <row r="47" spans="1:72" ht="18.75">
      <c r="A47" s="7" t="s">
        <v>86</v>
      </c>
      <c r="B47" s="89">
        <v>211</v>
      </c>
      <c r="C47" s="51">
        <v>901.4</v>
      </c>
      <c r="D47" s="51">
        <v>271</v>
      </c>
      <c r="E47" s="42">
        <v>409.6</v>
      </c>
      <c r="F47" s="42">
        <v>316.8</v>
      </c>
      <c r="G47" s="42">
        <v>95.6</v>
      </c>
      <c r="H47" s="64"/>
      <c r="I47" s="64"/>
      <c r="J47" s="108">
        <v>45.4</v>
      </c>
      <c r="K47" s="6">
        <v>1458.2</v>
      </c>
      <c r="L47" s="123">
        <f t="shared" si="7"/>
        <v>3498</v>
      </c>
      <c r="M47" s="42">
        <v>31.6</v>
      </c>
      <c r="N47" s="39">
        <f t="shared" si="8"/>
        <v>822.00000000000011</v>
      </c>
      <c r="O47" s="42">
        <v>45.4</v>
      </c>
      <c r="P47" s="92">
        <f t="shared" si="9"/>
        <v>867.40000000000009</v>
      </c>
      <c r="Q47" s="39">
        <f t="shared" si="5"/>
        <v>16.577999999999999</v>
      </c>
      <c r="R47" s="144">
        <f t="shared" si="6"/>
        <v>4.1109004739336497</v>
      </c>
      <c r="S47" s="128">
        <f t="shared" si="10"/>
        <v>0.80534369686665042</v>
      </c>
      <c r="T47" s="145">
        <f t="shared" si="11"/>
        <v>3529.6</v>
      </c>
    </row>
    <row r="48" spans="1:72" ht="18.75">
      <c r="A48" s="7" t="s">
        <v>87</v>
      </c>
      <c r="B48" s="89">
        <v>169</v>
      </c>
      <c r="C48" s="51">
        <v>757.6</v>
      </c>
      <c r="D48" s="51">
        <v>227.8</v>
      </c>
      <c r="E48" s="42">
        <v>357.6</v>
      </c>
      <c r="F48" s="42">
        <v>321.89999999999998</v>
      </c>
      <c r="G48" s="42">
        <v>155.80000000000001</v>
      </c>
      <c r="H48" s="64"/>
      <c r="I48" s="64"/>
      <c r="J48" s="108">
        <v>45.4</v>
      </c>
      <c r="K48" s="6">
        <v>1078.0999999999999</v>
      </c>
      <c r="L48" s="123">
        <f t="shared" si="7"/>
        <v>2944.2</v>
      </c>
      <c r="M48" s="42">
        <v>0</v>
      </c>
      <c r="N48" s="39">
        <f t="shared" si="8"/>
        <v>835.3</v>
      </c>
      <c r="O48" s="42">
        <v>45.4</v>
      </c>
      <c r="P48" s="92">
        <f t="shared" si="9"/>
        <v>880.69999999999993</v>
      </c>
      <c r="Q48" s="39">
        <f t="shared" si="5"/>
        <v>17.420999999999999</v>
      </c>
      <c r="R48" s="144">
        <f t="shared" si="6"/>
        <v>5.2112426035502954</v>
      </c>
      <c r="S48" s="128">
        <f t="shared" si="10"/>
        <v>0.84629584649016265</v>
      </c>
      <c r="T48" s="145">
        <f t="shared" si="11"/>
        <v>2944.2</v>
      </c>
    </row>
    <row r="49" spans="1:72" ht="18.75">
      <c r="A49" s="7" t="s">
        <v>88</v>
      </c>
      <c r="B49" s="89">
        <v>198</v>
      </c>
      <c r="C49" s="51">
        <v>829.5</v>
      </c>
      <c r="D49" s="51">
        <v>249.4</v>
      </c>
      <c r="E49" s="42">
        <v>383.5</v>
      </c>
      <c r="F49" s="42">
        <v>355.90000000000003</v>
      </c>
      <c r="G49" s="42">
        <v>117.6</v>
      </c>
      <c r="H49" s="64"/>
      <c r="I49" s="64"/>
      <c r="J49" s="108">
        <v>45.4</v>
      </c>
      <c r="K49" s="6">
        <v>1327.5</v>
      </c>
      <c r="L49" s="123">
        <f t="shared" si="7"/>
        <v>3308.8</v>
      </c>
      <c r="M49" s="42">
        <v>31.8</v>
      </c>
      <c r="N49" s="39">
        <f t="shared" si="8"/>
        <v>857.00000000000011</v>
      </c>
      <c r="O49" s="42">
        <v>45.4</v>
      </c>
      <c r="P49" s="92">
        <f t="shared" si="9"/>
        <v>902.40000000000009</v>
      </c>
      <c r="Q49" s="39">
        <f t="shared" ref="Q49:Q80" si="12">ROUND(L49/B49,3)</f>
        <v>16.710999999999999</v>
      </c>
      <c r="R49" s="144">
        <f t="shared" si="6"/>
        <v>4.5575757575757576</v>
      </c>
      <c r="S49" s="128">
        <f t="shared" si="10"/>
        <v>0.81180471216905503</v>
      </c>
      <c r="T49" s="145">
        <f t="shared" si="11"/>
        <v>3340.6000000000004</v>
      </c>
    </row>
    <row r="50" spans="1:72" s="107" customFormat="1" ht="18.75">
      <c r="A50" s="120">
        <v>185</v>
      </c>
      <c r="B50" s="106">
        <v>156</v>
      </c>
      <c r="C50" s="52">
        <v>757.6</v>
      </c>
      <c r="D50" s="52">
        <v>227.8</v>
      </c>
      <c r="E50" s="42">
        <v>241.8</v>
      </c>
      <c r="F50" s="42">
        <v>261.2</v>
      </c>
      <c r="G50" s="42">
        <v>79.900000000000006</v>
      </c>
      <c r="H50" s="66"/>
      <c r="I50" s="66"/>
      <c r="J50" s="96">
        <v>45.4</v>
      </c>
      <c r="K50" s="97">
        <v>2706.9</v>
      </c>
      <c r="L50" s="123">
        <f t="shared" si="7"/>
        <v>4320.6000000000004</v>
      </c>
      <c r="M50" s="42">
        <v>27.4</v>
      </c>
      <c r="N50" s="39">
        <f t="shared" si="8"/>
        <v>582.9</v>
      </c>
      <c r="O50" s="44">
        <v>45.4</v>
      </c>
      <c r="P50" s="92">
        <f t="shared" si="9"/>
        <v>628.29999999999995</v>
      </c>
      <c r="Q50" s="39">
        <f t="shared" si="12"/>
        <v>27.696000000000002</v>
      </c>
      <c r="R50" s="144">
        <f t="shared" si="6"/>
        <v>4.027564102564102</v>
      </c>
      <c r="S50" s="128">
        <f t="shared" si="10"/>
        <v>1.3454457128977411</v>
      </c>
      <c r="T50" s="145">
        <f t="shared" si="11"/>
        <v>4348</v>
      </c>
      <c r="U50" s="80"/>
      <c r="V50" s="80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</row>
    <row r="51" spans="1:72" ht="18.75">
      <c r="A51" s="7" t="s">
        <v>89</v>
      </c>
      <c r="B51" s="89">
        <v>196</v>
      </c>
      <c r="C51" s="51">
        <v>973.4</v>
      </c>
      <c r="D51" s="51">
        <v>292.60000000000002</v>
      </c>
      <c r="E51" s="42">
        <v>582.70000000000005</v>
      </c>
      <c r="F51" s="42">
        <v>400.3</v>
      </c>
      <c r="G51" s="42">
        <v>118.5</v>
      </c>
      <c r="H51" s="64"/>
      <c r="I51" s="64"/>
      <c r="J51" s="108">
        <v>45.4</v>
      </c>
      <c r="K51" s="6">
        <v>1346.9</v>
      </c>
      <c r="L51" s="123">
        <f t="shared" si="7"/>
        <v>3759.8</v>
      </c>
      <c r="M51" s="42">
        <v>21.3</v>
      </c>
      <c r="N51" s="39">
        <f t="shared" si="8"/>
        <v>1101.5</v>
      </c>
      <c r="O51" s="42">
        <v>45.4</v>
      </c>
      <c r="P51" s="92">
        <f t="shared" si="9"/>
        <v>1146.9000000000001</v>
      </c>
      <c r="Q51" s="39">
        <f t="shared" si="12"/>
        <v>19.183</v>
      </c>
      <c r="R51" s="144">
        <f t="shared" si="6"/>
        <v>5.8515306122448987</v>
      </c>
      <c r="S51" s="128">
        <f t="shared" si="10"/>
        <v>0.93189215448141849</v>
      </c>
      <c r="T51" s="145">
        <f t="shared" si="11"/>
        <v>3781.1000000000004</v>
      </c>
    </row>
    <row r="52" spans="1:72" s="107" customFormat="1" ht="18.75">
      <c r="A52" s="120">
        <v>214</v>
      </c>
      <c r="B52" s="106">
        <v>359</v>
      </c>
      <c r="C52" s="52">
        <v>1141.0999999999999</v>
      </c>
      <c r="D52" s="52">
        <v>343.1</v>
      </c>
      <c r="E52" s="42">
        <v>495.6</v>
      </c>
      <c r="F52" s="42">
        <v>642.4</v>
      </c>
      <c r="G52" s="42">
        <v>157.5</v>
      </c>
      <c r="H52" s="66"/>
      <c r="I52" s="66"/>
      <c r="J52" s="96">
        <v>58.7</v>
      </c>
      <c r="K52" s="97">
        <v>2535.5</v>
      </c>
      <c r="L52" s="123">
        <f t="shared" si="7"/>
        <v>5373.9</v>
      </c>
      <c r="M52" s="42">
        <v>53.1</v>
      </c>
      <c r="N52" s="39">
        <f t="shared" si="8"/>
        <v>1295.5</v>
      </c>
      <c r="O52" s="44">
        <v>58.7</v>
      </c>
      <c r="P52" s="92">
        <f t="shared" si="9"/>
        <v>1354.2</v>
      </c>
      <c r="Q52" s="39">
        <f t="shared" si="12"/>
        <v>14.968999999999999</v>
      </c>
      <c r="R52" s="144">
        <f t="shared" si="6"/>
        <v>3.7721448467966576</v>
      </c>
      <c r="S52" s="128">
        <f t="shared" si="10"/>
        <v>0.72717998542628126</v>
      </c>
      <c r="T52" s="145">
        <f t="shared" si="11"/>
        <v>5427</v>
      </c>
      <c r="U52" s="80"/>
      <c r="V52" s="80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</row>
    <row r="53" spans="1:72" ht="18.75">
      <c r="A53" s="121" t="s">
        <v>90</v>
      </c>
      <c r="B53" s="89">
        <v>217</v>
      </c>
      <c r="C53" s="51">
        <v>901.4</v>
      </c>
      <c r="D53" s="51">
        <v>271</v>
      </c>
      <c r="E53" s="42">
        <v>474.5</v>
      </c>
      <c r="F53" s="42">
        <v>368.29999999999995</v>
      </c>
      <c r="G53" s="42">
        <v>117.80000000000001</v>
      </c>
      <c r="H53" s="64"/>
      <c r="I53" s="64"/>
      <c r="J53" s="108">
        <v>45.4</v>
      </c>
      <c r="K53" s="6">
        <v>1397.2</v>
      </c>
      <c r="L53" s="123">
        <f t="shared" si="7"/>
        <v>3575.6</v>
      </c>
      <c r="M53" s="42">
        <v>27.3</v>
      </c>
      <c r="N53" s="39">
        <f t="shared" si="8"/>
        <v>960.59999999999991</v>
      </c>
      <c r="O53" s="42">
        <v>45.4</v>
      </c>
      <c r="P53" s="92">
        <f t="shared" si="9"/>
        <v>1005.9999999999999</v>
      </c>
      <c r="Q53" s="39">
        <f t="shared" si="12"/>
        <v>16.477</v>
      </c>
      <c r="R53" s="144">
        <f t="shared" si="6"/>
        <v>4.6359447004608292</v>
      </c>
      <c r="S53" s="128">
        <f t="shared" si="10"/>
        <v>0.8004372115618168</v>
      </c>
      <c r="T53" s="145">
        <f t="shared" si="11"/>
        <v>3602.9</v>
      </c>
    </row>
    <row r="54" spans="1:72" ht="18.75">
      <c r="A54" s="7" t="s">
        <v>91</v>
      </c>
      <c r="B54" s="89">
        <v>199</v>
      </c>
      <c r="C54" s="51">
        <v>829.5</v>
      </c>
      <c r="D54" s="51">
        <v>249.4</v>
      </c>
      <c r="E54" s="42">
        <v>317.7</v>
      </c>
      <c r="F54" s="42">
        <v>307</v>
      </c>
      <c r="G54" s="42">
        <v>90.5</v>
      </c>
      <c r="H54" s="64"/>
      <c r="I54" s="64"/>
      <c r="J54" s="108">
        <v>45.4</v>
      </c>
      <c r="K54" s="6">
        <v>1255.5</v>
      </c>
      <c r="L54" s="123">
        <f t="shared" si="7"/>
        <v>3095</v>
      </c>
      <c r="M54" s="42">
        <v>22.2</v>
      </c>
      <c r="N54" s="39">
        <f t="shared" si="8"/>
        <v>715.2</v>
      </c>
      <c r="O54" s="42">
        <v>45.4</v>
      </c>
      <c r="P54" s="92">
        <f t="shared" si="9"/>
        <v>760.6</v>
      </c>
      <c r="Q54" s="39">
        <f t="shared" si="12"/>
        <v>15.553000000000001</v>
      </c>
      <c r="R54" s="144">
        <f t="shared" si="6"/>
        <v>3.8221105527638191</v>
      </c>
      <c r="S54" s="128">
        <f t="shared" si="10"/>
        <v>0.7555501578819529</v>
      </c>
      <c r="T54" s="145">
        <f t="shared" si="11"/>
        <v>3117.2</v>
      </c>
    </row>
    <row r="55" spans="1:72" s="107" customFormat="1" ht="18.75">
      <c r="A55" s="120">
        <v>226</v>
      </c>
      <c r="B55" s="106">
        <v>458</v>
      </c>
      <c r="C55" s="52">
        <v>1428.8</v>
      </c>
      <c r="D55" s="52">
        <v>429.6</v>
      </c>
      <c r="E55" s="42">
        <v>770.8</v>
      </c>
      <c r="F55" s="42">
        <v>499.3</v>
      </c>
      <c r="G55" s="42">
        <v>146.5</v>
      </c>
      <c r="H55" s="66"/>
      <c r="I55" s="66"/>
      <c r="J55" s="96">
        <v>58.7</v>
      </c>
      <c r="K55" s="97">
        <v>3156.7</v>
      </c>
      <c r="L55" s="123">
        <f t="shared" si="7"/>
        <v>6490.4</v>
      </c>
      <c r="M55" s="42">
        <v>48.9</v>
      </c>
      <c r="N55" s="39">
        <f t="shared" si="8"/>
        <v>1416.6</v>
      </c>
      <c r="O55" s="44">
        <v>58.7</v>
      </c>
      <c r="P55" s="92">
        <f t="shared" si="9"/>
        <v>1475.3</v>
      </c>
      <c r="Q55" s="39">
        <f t="shared" si="12"/>
        <v>14.170999999999999</v>
      </c>
      <c r="R55" s="144">
        <f t="shared" si="6"/>
        <v>3.22117903930131</v>
      </c>
      <c r="S55" s="128">
        <f t="shared" si="10"/>
        <v>0.68841389361185323</v>
      </c>
      <c r="T55" s="145">
        <f t="shared" si="11"/>
        <v>6539.2999999999993</v>
      </c>
      <c r="U55" s="80"/>
      <c r="V55" s="80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</row>
    <row r="56" spans="1:72" ht="18.75">
      <c r="A56" s="7" t="s">
        <v>92</v>
      </c>
      <c r="B56" s="89">
        <v>475</v>
      </c>
      <c r="C56" s="51">
        <v>1428.8</v>
      </c>
      <c r="D56" s="51">
        <v>429.6</v>
      </c>
      <c r="E56" s="42">
        <v>1050</v>
      </c>
      <c r="F56" s="42">
        <v>455.6</v>
      </c>
      <c r="G56" s="42">
        <v>232</v>
      </c>
      <c r="H56" s="64"/>
      <c r="I56" s="64"/>
      <c r="J56" s="108">
        <v>58.7</v>
      </c>
      <c r="K56" s="6">
        <v>3224.3</v>
      </c>
      <c r="L56" s="123">
        <f t="shared" si="7"/>
        <v>6879</v>
      </c>
      <c r="M56" s="42">
        <v>51.6</v>
      </c>
      <c r="N56" s="39">
        <f t="shared" si="8"/>
        <v>1737.6</v>
      </c>
      <c r="O56" s="42">
        <v>58.7</v>
      </c>
      <c r="P56" s="92">
        <f t="shared" si="9"/>
        <v>1796.3</v>
      </c>
      <c r="Q56" s="39">
        <f t="shared" si="12"/>
        <v>14.481999999999999</v>
      </c>
      <c r="R56" s="144">
        <f t="shared" si="6"/>
        <v>3.7816842105263158</v>
      </c>
      <c r="S56" s="128">
        <f t="shared" si="10"/>
        <v>0.70352198202574689</v>
      </c>
      <c r="T56" s="145">
        <f t="shared" si="11"/>
        <v>6930.6</v>
      </c>
    </row>
    <row r="57" spans="1:72" ht="18.75">
      <c r="A57" s="7" t="s">
        <v>93</v>
      </c>
      <c r="B57" s="89">
        <v>216</v>
      </c>
      <c r="C57" s="51">
        <v>829.5</v>
      </c>
      <c r="D57" s="51">
        <v>249.4</v>
      </c>
      <c r="E57" s="42">
        <v>260</v>
      </c>
      <c r="F57" s="42">
        <v>322.89999999999998</v>
      </c>
      <c r="G57" s="42">
        <v>106.5</v>
      </c>
      <c r="H57" s="64"/>
      <c r="I57" s="64"/>
      <c r="J57" s="108">
        <v>45.4</v>
      </c>
      <c r="K57" s="6">
        <v>1479</v>
      </c>
      <c r="L57" s="123">
        <f t="shared" si="7"/>
        <v>3292.7</v>
      </c>
      <c r="M57" s="42">
        <v>32.299999999999997</v>
      </c>
      <c r="N57" s="39">
        <f t="shared" si="8"/>
        <v>689.4</v>
      </c>
      <c r="O57" s="42">
        <v>45.4</v>
      </c>
      <c r="P57" s="92">
        <f t="shared" si="9"/>
        <v>734.8</v>
      </c>
      <c r="Q57" s="39">
        <f t="shared" si="12"/>
        <v>15.244</v>
      </c>
      <c r="R57" s="144">
        <f t="shared" si="6"/>
        <v>3.4018518518518515</v>
      </c>
      <c r="S57" s="128">
        <f t="shared" si="10"/>
        <v>0.74053922759290747</v>
      </c>
      <c r="T57" s="145">
        <f t="shared" si="11"/>
        <v>3325</v>
      </c>
    </row>
    <row r="58" spans="1:72" s="107" customFormat="1" ht="18.75">
      <c r="A58" s="120">
        <v>235</v>
      </c>
      <c r="B58" s="106">
        <v>171</v>
      </c>
      <c r="C58" s="52">
        <v>853.4</v>
      </c>
      <c r="D58" s="52">
        <v>256.60000000000002</v>
      </c>
      <c r="E58" s="42">
        <v>387.6</v>
      </c>
      <c r="F58" s="42">
        <v>229.3</v>
      </c>
      <c r="G58" s="42">
        <v>73.900000000000006</v>
      </c>
      <c r="H58" s="66"/>
      <c r="I58" s="66"/>
      <c r="J58" s="96">
        <v>45.4</v>
      </c>
      <c r="K58" s="97">
        <v>1196.9000000000001</v>
      </c>
      <c r="L58" s="123">
        <f t="shared" si="7"/>
        <v>3043.1</v>
      </c>
      <c r="M58" s="42">
        <v>22.5</v>
      </c>
      <c r="N58" s="39">
        <f t="shared" si="8"/>
        <v>690.80000000000007</v>
      </c>
      <c r="O58" s="44">
        <v>45.4</v>
      </c>
      <c r="P58" s="92">
        <f t="shared" si="9"/>
        <v>736.2</v>
      </c>
      <c r="Q58" s="39">
        <f t="shared" si="12"/>
        <v>17.795999999999999</v>
      </c>
      <c r="R58" s="144">
        <f t="shared" si="6"/>
        <v>4.3052631578947373</v>
      </c>
      <c r="S58" s="128">
        <f t="shared" si="10"/>
        <v>0.86451299489919842</v>
      </c>
      <c r="T58" s="145">
        <f t="shared" si="11"/>
        <v>3065.6</v>
      </c>
      <c r="U58" s="80"/>
      <c r="V58" s="80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</row>
    <row r="59" spans="1:72" ht="18.75">
      <c r="A59" s="7" t="s">
        <v>94</v>
      </c>
      <c r="B59" s="89">
        <v>445</v>
      </c>
      <c r="C59" s="51">
        <v>1357</v>
      </c>
      <c r="D59" s="51">
        <v>408</v>
      </c>
      <c r="E59" s="42">
        <v>589.20000000000005</v>
      </c>
      <c r="F59" s="42">
        <v>538.20000000000005</v>
      </c>
      <c r="G59" s="42">
        <v>196.7</v>
      </c>
      <c r="H59" s="64"/>
      <c r="I59" s="64"/>
      <c r="J59" s="108">
        <v>58.7</v>
      </c>
      <c r="K59" s="6">
        <v>2774</v>
      </c>
      <c r="L59" s="123">
        <f t="shared" si="7"/>
        <v>5921.8</v>
      </c>
      <c r="M59" s="42">
        <v>48.9</v>
      </c>
      <c r="N59" s="39">
        <f t="shared" si="8"/>
        <v>1324.1000000000001</v>
      </c>
      <c r="O59" s="42">
        <v>58.7</v>
      </c>
      <c r="P59" s="92">
        <f t="shared" si="9"/>
        <v>1382.8000000000002</v>
      </c>
      <c r="Q59" s="39">
        <f t="shared" si="12"/>
        <v>13.307</v>
      </c>
      <c r="R59" s="144">
        <f t="shared" si="6"/>
        <v>3.1074157303370789</v>
      </c>
      <c r="S59" s="128">
        <f t="shared" si="10"/>
        <v>0.64644158367743498</v>
      </c>
      <c r="T59" s="145">
        <f t="shared" si="11"/>
        <v>5970.7</v>
      </c>
    </row>
    <row r="60" spans="1:72" ht="18.75">
      <c r="A60" s="7" t="s">
        <v>95</v>
      </c>
      <c r="B60" s="89">
        <v>422</v>
      </c>
      <c r="C60" s="51">
        <v>1117.2</v>
      </c>
      <c r="D60" s="51">
        <v>335.9</v>
      </c>
      <c r="E60" s="42">
        <v>552.70000000000005</v>
      </c>
      <c r="F60" s="42">
        <v>701.6</v>
      </c>
      <c r="G60" s="42">
        <v>29.400000000000006</v>
      </c>
      <c r="H60" s="64"/>
      <c r="I60" s="64"/>
      <c r="J60" s="108">
        <v>55.2</v>
      </c>
      <c r="K60" s="6">
        <v>2811</v>
      </c>
      <c r="L60" s="123">
        <f t="shared" si="7"/>
        <v>5603</v>
      </c>
      <c r="M60" s="42">
        <v>47</v>
      </c>
      <c r="N60" s="39">
        <f t="shared" si="8"/>
        <v>1283.7000000000003</v>
      </c>
      <c r="O60" s="42">
        <v>55.2</v>
      </c>
      <c r="P60" s="92">
        <f t="shared" si="9"/>
        <v>1338.9000000000003</v>
      </c>
      <c r="Q60" s="39">
        <f t="shared" si="12"/>
        <v>13.276999999999999</v>
      </c>
      <c r="R60" s="144">
        <f t="shared" si="6"/>
        <v>3.1727488151658774</v>
      </c>
      <c r="S60" s="128">
        <f t="shared" si="10"/>
        <v>0.6449842118047121</v>
      </c>
      <c r="T60" s="145">
        <f t="shared" si="11"/>
        <v>5650</v>
      </c>
    </row>
    <row r="61" spans="1:72" ht="18.75">
      <c r="A61" s="7" t="s">
        <v>96</v>
      </c>
      <c r="B61" s="89">
        <v>161</v>
      </c>
      <c r="C61" s="51">
        <v>757.6</v>
      </c>
      <c r="D61" s="51">
        <v>227.8</v>
      </c>
      <c r="E61" s="42">
        <v>621.5</v>
      </c>
      <c r="F61" s="42">
        <v>155.69999999999999</v>
      </c>
      <c r="G61" s="42">
        <v>121.60000000000001</v>
      </c>
      <c r="H61" s="64"/>
      <c r="I61" s="64"/>
      <c r="J61" s="108">
        <v>45.4</v>
      </c>
      <c r="K61" s="6">
        <v>1202</v>
      </c>
      <c r="L61" s="123">
        <f t="shared" si="7"/>
        <v>3131.6</v>
      </c>
      <c r="M61" s="42">
        <v>17.899999999999999</v>
      </c>
      <c r="N61" s="39">
        <f t="shared" si="8"/>
        <v>898.80000000000007</v>
      </c>
      <c r="O61" s="42">
        <v>45.4</v>
      </c>
      <c r="P61" s="92">
        <f t="shared" si="9"/>
        <v>944.2</v>
      </c>
      <c r="Q61" s="39">
        <f t="shared" si="12"/>
        <v>19.451000000000001</v>
      </c>
      <c r="R61" s="144">
        <f t="shared" si="6"/>
        <v>5.8645962732919257</v>
      </c>
      <c r="S61" s="128">
        <f t="shared" si="10"/>
        <v>0.94491134321107606</v>
      </c>
      <c r="T61" s="145">
        <f t="shared" si="11"/>
        <v>3149.5</v>
      </c>
    </row>
    <row r="62" spans="1:72" s="107" customFormat="1" ht="18.75">
      <c r="A62" s="120">
        <v>40</v>
      </c>
      <c r="B62" s="106">
        <v>51</v>
      </c>
      <c r="C62" s="52">
        <v>669.6</v>
      </c>
      <c r="D62" s="52">
        <v>201.3</v>
      </c>
      <c r="E62" s="42">
        <v>147.9</v>
      </c>
      <c r="F62" s="42">
        <v>96.2</v>
      </c>
      <c r="G62" s="42">
        <v>38.9</v>
      </c>
      <c r="H62" s="66"/>
      <c r="I62" s="66"/>
      <c r="J62" s="98">
        <v>38.299999999999997</v>
      </c>
      <c r="K62" s="44">
        <v>1177.4000000000001</v>
      </c>
      <c r="L62" s="123">
        <f t="shared" si="7"/>
        <v>2369.6</v>
      </c>
      <c r="M62" s="42">
        <v>16.3</v>
      </c>
      <c r="N62" s="39">
        <f t="shared" si="8"/>
        <v>283</v>
      </c>
      <c r="O62" s="100">
        <v>38.299999999999997</v>
      </c>
      <c r="P62" s="92">
        <f t="shared" si="9"/>
        <v>321.3</v>
      </c>
      <c r="Q62" s="39">
        <f t="shared" si="12"/>
        <v>46.463000000000001</v>
      </c>
      <c r="R62" s="144">
        <f t="shared" si="6"/>
        <v>6.3</v>
      </c>
      <c r="S62" s="128">
        <f t="shared" si="10"/>
        <v>2.2571289774107361</v>
      </c>
      <c r="T62" s="145">
        <f t="shared" si="11"/>
        <v>2385.9</v>
      </c>
      <c r="U62" s="80"/>
      <c r="V62" s="80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</row>
    <row r="63" spans="1:72" ht="18.75">
      <c r="A63" s="7" t="s">
        <v>97</v>
      </c>
      <c r="B63" s="89">
        <v>164</v>
      </c>
      <c r="C63" s="51">
        <v>885.4</v>
      </c>
      <c r="D63" s="51">
        <v>266.2</v>
      </c>
      <c r="E63" s="42">
        <v>877.6</v>
      </c>
      <c r="F63" s="42">
        <v>198.8</v>
      </c>
      <c r="G63" s="42">
        <v>106.6</v>
      </c>
      <c r="H63" s="64"/>
      <c r="I63" s="64"/>
      <c r="J63" s="109">
        <v>45.4</v>
      </c>
      <c r="K63" s="42">
        <v>1091</v>
      </c>
      <c r="L63" s="123">
        <f t="shared" si="7"/>
        <v>3471</v>
      </c>
      <c r="M63" s="42">
        <v>14.4</v>
      </c>
      <c r="N63" s="39">
        <f t="shared" si="8"/>
        <v>1183</v>
      </c>
      <c r="O63" s="125">
        <v>45.4</v>
      </c>
      <c r="P63" s="92">
        <f t="shared" si="9"/>
        <v>1228.4000000000001</v>
      </c>
      <c r="Q63" s="39">
        <f t="shared" si="12"/>
        <v>21.164999999999999</v>
      </c>
      <c r="R63" s="144">
        <f t="shared" si="6"/>
        <v>7.4902439024390253</v>
      </c>
      <c r="S63" s="128">
        <f t="shared" si="10"/>
        <v>1.0281758562059751</v>
      </c>
      <c r="T63" s="145">
        <f t="shared" si="11"/>
        <v>3485.4</v>
      </c>
    </row>
    <row r="64" spans="1:72" s="107" customFormat="1" ht="18.75">
      <c r="A64" s="120">
        <v>55</v>
      </c>
      <c r="B64" s="106">
        <v>162</v>
      </c>
      <c r="C64" s="52">
        <v>885.4</v>
      </c>
      <c r="D64" s="52">
        <v>266.2</v>
      </c>
      <c r="E64" s="42">
        <v>239.3</v>
      </c>
      <c r="F64" s="42">
        <v>232.5</v>
      </c>
      <c r="G64" s="42">
        <v>49</v>
      </c>
      <c r="H64" s="66"/>
      <c r="I64" s="66"/>
      <c r="J64" s="98">
        <v>45.4</v>
      </c>
      <c r="K64" s="44">
        <v>2890.1</v>
      </c>
      <c r="L64" s="123">
        <f t="shared" si="7"/>
        <v>4607.8999999999996</v>
      </c>
      <c r="M64" s="42">
        <v>25.6</v>
      </c>
      <c r="N64" s="39">
        <f t="shared" si="8"/>
        <v>520.79999999999995</v>
      </c>
      <c r="O64" s="100">
        <v>45.4</v>
      </c>
      <c r="P64" s="92">
        <f t="shared" si="9"/>
        <v>566.19999999999993</v>
      </c>
      <c r="Q64" s="39">
        <f t="shared" si="12"/>
        <v>28.443999999999999</v>
      </c>
      <c r="R64" s="144">
        <f t="shared" si="6"/>
        <v>3.4950617283950614</v>
      </c>
      <c r="S64" s="128">
        <f t="shared" si="10"/>
        <v>1.3817828515909643</v>
      </c>
      <c r="T64" s="145">
        <f t="shared" si="11"/>
        <v>4633.5</v>
      </c>
      <c r="U64" s="80"/>
      <c r="V64" s="80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</row>
    <row r="65" spans="1:72" ht="18.75">
      <c r="A65" s="7" t="s">
        <v>98</v>
      </c>
      <c r="B65" s="89">
        <v>187</v>
      </c>
      <c r="C65" s="51">
        <v>1315.3</v>
      </c>
      <c r="D65" s="51">
        <v>395.4</v>
      </c>
      <c r="E65" s="42">
        <v>317.3</v>
      </c>
      <c r="F65" s="42">
        <v>199.9</v>
      </c>
      <c r="G65" s="42">
        <v>54.5</v>
      </c>
      <c r="H65" s="64"/>
      <c r="I65" s="64"/>
      <c r="J65" s="109">
        <v>48.4</v>
      </c>
      <c r="K65" s="42">
        <v>1191.8</v>
      </c>
      <c r="L65" s="123">
        <f t="shared" si="7"/>
        <v>3522.6</v>
      </c>
      <c r="M65" s="42">
        <v>42.7</v>
      </c>
      <c r="N65" s="39">
        <f t="shared" si="8"/>
        <v>571.70000000000005</v>
      </c>
      <c r="O65" s="125">
        <v>48.4</v>
      </c>
      <c r="P65" s="92">
        <f t="shared" si="9"/>
        <v>620.1</v>
      </c>
      <c r="Q65" s="39">
        <f t="shared" si="12"/>
        <v>18.837</v>
      </c>
      <c r="R65" s="144">
        <f t="shared" si="6"/>
        <v>3.3160427807486634</v>
      </c>
      <c r="S65" s="128">
        <f t="shared" si="10"/>
        <v>0.91508379888268154</v>
      </c>
      <c r="T65" s="145">
        <f t="shared" si="11"/>
        <v>3565.2999999999997</v>
      </c>
    </row>
    <row r="66" spans="1:72" ht="18.75">
      <c r="A66" s="7" t="s">
        <v>99</v>
      </c>
      <c r="B66" s="89">
        <v>178</v>
      </c>
      <c r="C66" s="51">
        <v>949.3</v>
      </c>
      <c r="D66" s="51">
        <v>285.39999999999998</v>
      </c>
      <c r="E66" s="42">
        <v>338</v>
      </c>
      <c r="F66" s="42">
        <v>203.3</v>
      </c>
      <c r="G66" s="42">
        <v>82.300000000000011</v>
      </c>
      <c r="H66" s="64"/>
      <c r="I66" s="64"/>
      <c r="J66" s="109">
        <v>45.4</v>
      </c>
      <c r="K66" s="42">
        <v>1206.7</v>
      </c>
      <c r="L66" s="123">
        <f t="shared" si="7"/>
        <v>3110.4</v>
      </c>
      <c r="M66" s="42">
        <v>21.7</v>
      </c>
      <c r="N66" s="39">
        <f t="shared" si="8"/>
        <v>623.59999999999991</v>
      </c>
      <c r="O66" s="125">
        <v>45.4</v>
      </c>
      <c r="P66" s="92">
        <f t="shared" si="9"/>
        <v>668.99999999999989</v>
      </c>
      <c r="Q66" s="39">
        <f t="shared" si="12"/>
        <v>17.474</v>
      </c>
      <c r="R66" s="144">
        <f t="shared" si="6"/>
        <v>3.7584269662921344</v>
      </c>
      <c r="S66" s="128">
        <f t="shared" si="10"/>
        <v>0.84887053679863977</v>
      </c>
      <c r="T66" s="145">
        <f t="shared" si="11"/>
        <v>3132.1</v>
      </c>
    </row>
    <row r="67" spans="1:72" ht="18.75">
      <c r="A67" s="7" t="s">
        <v>100</v>
      </c>
      <c r="B67" s="89">
        <v>265</v>
      </c>
      <c r="C67" s="51">
        <v>1245.0999999999999</v>
      </c>
      <c r="D67" s="51">
        <v>374.3</v>
      </c>
      <c r="E67" s="42">
        <v>494</v>
      </c>
      <c r="F67" s="42">
        <v>392.4</v>
      </c>
      <c r="G67" s="42">
        <v>137.39999999999998</v>
      </c>
      <c r="H67" s="64"/>
      <c r="I67" s="64"/>
      <c r="J67" s="109">
        <v>49.5</v>
      </c>
      <c r="K67" s="42">
        <v>1777.9</v>
      </c>
      <c r="L67" s="123">
        <f t="shared" si="7"/>
        <v>4470.6000000000004</v>
      </c>
      <c r="M67" s="42">
        <v>28.8</v>
      </c>
      <c r="N67" s="39">
        <f t="shared" si="8"/>
        <v>1023.8</v>
      </c>
      <c r="O67" s="125">
        <v>49.5</v>
      </c>
      <c r="P67" s="92">
        <f t="shared" si="9"/>
        <v>1073.3</v>
      </c>
      <c r="Q67" s="39">
        <f t="shared" si="12"/>
        <v>16.87</v>
      </c>
      <c r="R67" s="144">
        <f t="shared" si="6"/>
        <v>4.0501886792452826</v>
      </c>
      <c r="S67" s="128">
        <f t="shared" si="10"/>
        <v>0.81952878309448629</v>
      </c>
      <c r="T67" s="145">
        <f t="shared" si="11"/>
        <v>4499.4000000000005</v>
      </c>
    </row>
    <row r="68" spans="1:72" s="107" customFormat="1" ht="18.75">
      <c r="A68" s="120">
        <v>115</v>
      </c>
      <c r="B68" s="106">
        <v>58</v>
      </c>
      <c r="C68" s="52">
        <v>669.6</v>
      </c>
      <c r="D68" s="52">
        <v>201.3</v>
      </c>
      <c r="E68" s="42">
        <v>234</v>
      </c>
      <c r="F68" s="42">
        <v>149.1</v>
      </c>
      <c r="G68" s="42">
        <v>32.299999999999997</v>
      </c>
      <c r="H68" s="66"/>
      <c r="I68" s="66"/>
      <c r="J68" s="98">
        <v>38.299999999999997</v>
      </c>
      <c r="K68" s="44">
        <v>570.4</v>
      </c>
      <c r="L68" s="123">
        <f t="shared" si="7"/>
        <v>1895</v>
      </c>
      <c r="M68" s="42">
        <v>21.6</v>
      </c>
      <c r="N68" s="39">
        <f t="shared" si="8"/>
        <v>415.40000000000003</v>
      </c>
      <c r="O68" s="100">
        <v>38.299999999999997</v>
      </c>
      <c r="P68" s="92">
        <f t="shared" si="9"/>
        <v>453.70000000000005</v>
      </c>
      <c r="Q68" s="39">
        <f t="shared" si="12"/>
        <v>32.671999999999997</v>
      </c>
      <c r="R68" s="144">
        <f t="shared" si="6"/>
        <v>7.8224137931034488</v>
      </c>
      <c r="S68" s="128">
        <f t="shared" si="10"/>
        <v>1.5871751275200388</v>
      </c>
      <c r="T68" s="145">
        <f t="shared" si="11"/>
        <v>1916.6</v>
      </c>
      <c r="U68" s="80"/>
      <c r="V68" s="80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</row>
    <row r="69" spans="1:72" ht="18.75">
      <c r="A69" s="7" t="s">
        <v>101</v>
      </c>
      <c r="B69" s="89">
        <v>190</v>
      </c>
      <c r="C69" s="51">
        <v>1021.3</v>
      </c>
      <c r="D69" s="51">
        <v>307.10000000000002</v>
      </c>
      <c r="E69" s="42">
        <v>377.1</v>
      </c>
      <c r="F69" s="42">
        <v>159</v>
      </c>
      <c r="G69" s="42">
        <v>61.6</v>
      </c>
      <c r="H69" s="64"/>
      <c r="I69" s="64"/>
      <c r="J69" s="109">
        <v>45.4</v>
      </c>
      <c r="K69" s="42">
        <v>1358.1</v>
      </c>
      <c r="L69" s="123">
        <f t="shared" si="7"/>
        <v>3329.6</v>
      </c>
      <c r="M69" s="42">
        <v>23.7</v>
      </c>
      <c r="N69" s="39">
        <f t="shared" si="8"/>
        <v>597.70000000000005</v>
      </c>
      <c r="O69" s="125">
        <v>45.4</v>
      </c>
      <c r="P69" s="92">
        <f t="shared" si="9"/>
        <v>643.1</v>
      </c>
      <c r="Q69" s="39">
        <f t="shared" si="12"/>
        <v>17.524000000000001</v>
      </c>
      <c r="R69" s="144">
        <f t="shared" si="6"/>
        <v>3.3847368421052635</v>
      </c>
      <c r="S69" s="128">
        <f t="shared" si="10"/>
        <v>0.85129948991984461</v>
      </c>
      <c r="T69" s="145">
        <f t="shared" si="11"/>
        <v>3353.2999999999997</v>
      </c>
    </row>
    <row r="70" spans="1:72" ht="18.75">
      <c r="A70" s="7" t="s">
        <v>102</v>
      </c>
      <c r="B70" s="89">
        <v>186</v>
      </c>
      <c r="C70" s="51">
        <v>893.4</v>
      </c>
      <c r="D70" s="51">
        <v>268.60000000000002</v>
      </c>
      <c r="E70" s="42">
        <v>162.5</v>
      </c>
      <c r="F70" s="42">
        <v>179</v>
      </c>
      <c r="G70" s="42">
        <v>64.099999999999994</v>
      </c>
      <c r="H70" s="64"/>
      <c r="I70" s="64"/>
      <c r="J70" s="109">
        <v>45.4</v>
      </c>
      <c r="K70" s="42">
        <v>1157.9000000000001</v>
      </c>
      <c r="L70" s="123">
        <f t="shared" si="7"/>
        <v>2770.9</v>
      </c>
      <c r="M70" s="42">
        <v>25.9</v>
      </c>
      <c r="N70" s="39">
        <f t="shared" si="8"/>
        <v>405.6</v>
      </c>
      <c r="O70" s="125">
        <v>45.4</v>
      </c>
      <c r="P70" s="92">
        <f t="shared" si="9"/>
        <v>451</v>
      </c>
      <c r="Q70" s="39">
        <f t="shared" si="12"/>
        <v>14.897</v>
      </c>
      <c r="R70" s="144">
        <f t="shared" si="6"/>
        <v>2.424731182795699</v>
      </c>
      <c r="S70" s="128">
        <f t="shared" si="10"/>
        <v>0.72368229293174635</v>
      </c>
      <c r="T70" s="145">
        <f t="shared" si="11"/>
        <v>2796.8</v>
      </c>
    </row>
    <row r="71" spans="1:72" ht="18.75">
      <c r="A71" s="7" t="s">
        <v>103</v>
      </c>
      <c r="B71" s="89">
        <v>127</v>
      </c>
      <c r="C71" s="51">
        <v>845.5</v>
      </c>
      <c r="D71" s="51">
        <v>254.2</v>
      </c>
      <c r="E71" s="42">
        <v>188.5</v>
      </c>
      <c r="F71" s="42">
        <v>234.2</v>
      </c>
      <c r="G71" s="42">
        <v>55.5</v>
      </c>
      <c r="H71" s="64"/>
      <c r="I71" s="64"/>
      <c r="J71" s="109">
        <v>44.2</v>
      </c>
      <c r="K71" s="42">
        <v>966.2</v>
      </c>
      <c r="L71" s="123">
        <f t="shared" si="7"/>
        <v>2588.3000000000002</v>
      </c>
      <c r="M71" s="42">
        <v>28.5</v>
      </c>
      <c r="N71" s="39">
        <f t="shared" si="8"/>
        <v>478.2</v>
      </c>
      <c r="O71" s="125">
        <v>44.2</v>
      </c>
      <c r="P71" s="92">
        <f t="shared" si="9"/>
        <v>522.4</v>
      </c>
      <c r="Q71" s="39">
        <f t="shared" si="12"/>
        <v>20.38</v>
      </c>
      <c r="R71" s="144">
        <f t="shared" si="6"/>
        <v>4.113385826771653</v>
      </c>
      <c r="S71" s="128">
        <f t="shared" si="10"/>
        <v>0.99004129220306036</v>
      </c>
      <c r="T71" s="145">
        <f t="shared" si="11"/>
        <v>2616.8000000000002</v>
      </c>
    </row>
    <row r="72" spans="1:72" ht="18.75">
      <c r="A72" s="7" t="s">
        <v>104</v>
      </c>
      <c r="B72" s="89">
        <v>222</v>
      </c>
      <c r="C72" s="51">
        <v>1029.3</v>
      </c>
      <c r="D72" s="51">
        <v>309.5</v>
      </c>
      <c r="E72" s="42">
        <v>282.89999999999998</v>
      </c>
      <c r="F72" s="42">
        <v>303.39999999999998</v>
      </c>
      <c r="G72" s="42">
        <v>61.400000000000006</v>
      </c>
      <c r="H72" s="64"/>
      <c r="I72" s="64"/>
      <c r="J72" s="109">
        <v>45.4</v>
      </c>
      <c r="K72" s="42">
        <v>1519.8</v>
      </c>
      <c r="L72" s="123">
        <f t="shared" si="7"/>
        <v>3551.7</v>
      </c>
      <c r="M72" s="42">
        <v>22.5</v>
      </c>
      <c r="N72" s="39">
        <f t="shared" si="8"/>
        <v>647.69999999999993</v>
      </c>
      <c r="O72" s="125">
        <v>45.4</v>
      </c>
      <c r="P72" s="92">
        <f t="shared" si="9"/>
        <v>693.09999999999991</v>
      </c>
      <c r="Q72" s="39">
        <f t="shared" si="12"/>
        <v>15.999000000000001</v>
      </c>
      <c r="R72" s="144">
        <f t="shared" si="6"/>
        <v>3.1220720720720716</v>
      </c>
      <c r="S72" s="128">
        <f t="shared" si="10"/>
        <v>0.77721641972309929</v>
      </c>
      <c r="T72" s="145">
        <f t="shared" si="11"/>
        <v>3574.2</v>
      </c>
    </row>
    <row r="73" spans="1:72" ht="18.75">
      <c r="A73" s="7" t="s">
        <v>105</v>
      </c>
      <c r="B73" s="89">
        <v>118</v>
      </c>
      <c r="C73" s="51">
        <v>757.6</v>
      </c>
      <c r="D73" s="51">
        <v>227.8</v>
      </c>
      <c r="E73" s="42">
        <v>247</v>
      </c>
      <c r="F73" s="42">
        <v>175.2</v>
      </c>
      <c r="G73" s="42">
        <v>43.1</v>
      </c>
      <c r="H73" s="64"/>
      <c r="I73" s="64"/>
      <c r="J73" s="109">
        <v>38.299999999999997</v>
      </c>
      <c r="K73" s="42">
        <v>820.7</v>
      </c>
      <c r="L73" s="123">
        <f t="shared" si="7"/>
        <v>2309.6999999999998</v>
      </c>
      <c r="M73" s="42">
        <v>15</v>
      </c>
      <c r="N73" s="39">
        <f t="shared" si="8"/>
        <v>465.3</v>
      </c>
      <c r="O73" s="125">
        <v>38.299999999999997</v>
      </c>
      <c r="P73" s="92">
        <f t="shared" si="9"/>
        <v>503.6</v>
      </c>
      <c r="Q73" s="39">
        <f t="shared" si="12"/>
        <v>19.574000000000002</v>
      </c>
      <c r="R73" s="144">
        <f t="shared" si="6"/>
        <v>4.2677966101694915</v>
      </c>
      <c r="S73" s="128">
        <f t="shared" si="10"/>
        <v>0.95088656788923975</v>
      </c>
      <c r="T73" s="145">
        <f t="shared" si="11"/>
        <v>2324.6999999999998</v>
      </c>
    </row>
    <row r="74" spans="1:72" ht="18.75">
      <c r="A74" s="7" t="s">
        <v>106</v>
      </c>
      <c r="B74" s="89">
        <v>188</v>
      </c>
      <c r="C74" s="51">
        <v>989.3</v>
      </c>
      <c r="D74" s="51">
        <v>297.39999999999998</v>
      </c>
      <c r="E74" s="42">
        <v>312</v>
      </c>
      <c r="F74" s="42">
        <v>297.7</v>
      </c>
      <c r="G74" s="42">
        <v>99.8</v>
      </c>
      <c r="H74" s="64"/>
      <c r="I74" s="64"/>
      <c r="J74" s="109">
        <v>45.4</v>
      </c>
      <c r="K74" s="42">
        <v>1264.5</v>
      </c>
      <c r="L74" s="123">
        <f t="shared" si="7"/>
        <v>3306.1</v>
      </c>
      <c r="M74" s="42">
        <v>28.8</v>
      </c>
      <c r="N74" s="39">
        <f t="shared" si="8"/>
        <v>709.5</v>
      </c>
      <c r="O74" s="125">
        <v>45.4</v>
      </c>
      <c r="P74" s="92">
        <f t="shared" si="9"/>
        <v>754.9</v>
      </c>
      <c r="Q74" s="39">
        <f t="shared" si="12"/>
        <v>17.585999999999999</v>
      </c>
      <c r="R74" s="144">
        <f t="shared" si="6"/>
        <v>4.0154255319148939</v>
      </c>
      <c r="S74" s="128">
        <f t="shared" si="10"/>
        <v>0.85431139179013837</v>
      </c>
      <c r="T74" s="145">
        <f t="shared" si="11"/>
        <v>3334.9</v>
      </c>
    </row>
    <row r="75" spans="1:72" ht="18.75">
      <c r="A75" s="7" t="s">
        <v>107</v>
      </c>
      <c r="B75" s="89">
        <v>182</v>
      </c>
      <c r="C75" s="51">
        <v>989.3</v>
      </c>
      <c r="D75" s="51">
        <v>297.39999999999998</v>
      </c>
      <c r="E75" s="42">
        <v>331.5</v>
      </c>
      <c r="F75" s="42">
        <v>192.2</v>
      </c>
      <c r="G75" s="42">
        <v>105.30000000000001</v>
      </c>
      <c r="H75" s="64"/>
      <c r="I75" s="64"/>
      <c r="J75" s="109">
        <v>45.4</v>
      </c>
      <c r="K75" s="42">
        <v>1219.0999999999999</v>
      </c>
      <c r="L75" s="123">
        <f t="shared" si="7"/>
        <v>3180.2</v>
      </c>
      <c r="M75" s="42">
        <v>22.3</v>
      </c>
      <c r="N75" s="39">
        <f t="shared" si="8"/>
        <v>629</v>
      </c>
      <c r="O75" s="125">
        <v>45.4</v>
      </c>
      <c r="P75" s="92">
        <f t="shared" si="9"/>
        <v>674.4</v>
      </c>
      <c r="Q75" s="39">
        <f t="shared" si="12"/>
        <v>17.474</v>
      </c>
      <c r="R75" s="144">
        <f t="shared" si="6"/>
        <v>3.7054945054945052</v>
      </c>
      <c r="S75" s="128">
        <f t="shared" si="10"/>
        <v>0.84887053679863977</v>
      </c>
      <c r="T75" s="145">
        <f t="shared" si="11"/>
        <v>3202.5</v>
      </c>
    </row>
    <row r="76" spans="1:72" s="107" customFormat="1" ht="18.75">
      <c r="A76" s="120">
        <v>159</v>
      </c>
      <c r="B76" s="106">
        <v>70</v>
      </c>
      <c r="C76" s="52">
        <v>813.5</v>
      </c>
      <c r="D76" s="52">
        <v>244.6</v>
      </c>
      <c r="E76" s="42">
        <v>273.10000000000002</v>
      </c>
      <c r="F76" s="42">
        <v>189.1</v>
      </c>
      <c r="G76" s="42">
        <v>36.200000000000003</v>
      </c>
      <c r="H76" s="66"/>
      <c r="I76" s="66"/>
      <c r="J76" s="98">
        <v>44.2</v>
      </c>
      <c r="K76" s="44">
        <v>876.3</v>
      </c>
      <c r="L76" s="123">
        <f t="shared" si="7"/>
        <v>2477</v>
      </c>
      <c r="M76" s="42">
        <v>23</v>
      </c>
      <c r="N76" s="39">
        <f t="shared" si="8"/>
        <v>498.40000000000003</v>
      </c>
      <c r="O76" s="100">
        <v>44.2</v>
      </c>
      <c r="P76" s="92">
        <f t="shared" si="9"/>
        <v>542.6</v>
      </c>
      <c r="Q76" s="39">
        <f t="shared" si="12"/>
        <v>35.386000000000003</v>
      </c>
      <c r="R76" s="144">
        <f t="shared" si="6"/>
        <v>7.7514285714285718</v>
      </c>
      <c r="S76" s="128">
        <f t="shared" si="10"/>
        <v>1.7190187029390334</v>
      </c>
      <c r="T76" s="145">
        <f t="shared" si="11"/>
        <v>2500</v>
      </c>
      <c r="U76" s="80"/>
      <c r="V76" s="80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</row>
    <row r="77" spans="1:72" ht="18.75">
      <c r="A77" s="7" t="s">
        <v>108</v>
      </c>
      <c r="B77" s="89">
        <v>195</v>
      </c>
      <c r="C77" s="51">
        <v>973.4</v>
      </c>
      <c r="D77" s="51">
        <v>292.60000000000002</v>
      </c>
      <c r="E77" s="42">
        <v>320.60000000000002</v>
      </c>
      <c r="F77" s="42">
        <v>297.7</v>
      </c>
      <c r="G77" s="42">
        <v>96.7</v>
      </c>
      <c r="H77" s="64"/>
      <c r="I77" s="64"/>
      <c r="J77" s="109">
        <v>45.4</v>
      </c>
      <c r="K77" s="42">
        <v>1217.0999999999999</v>
      </c>
      <c r="L77" s="123">
        <f t="shared" si="7"/>
        <v>3243.5</v>
      </c>
      <c r="M77" s="42">
        <v>31.9</v>
      </c>
      <c r="N77" s="39">
        <f t="shared" si="8"/>
        <v>715</v>
      </c>
      <c r="O77" s="125">
        <v>45.4</v>
      </c>
      <c r="P77" s="92">
        <f t="shared" si="9"/>
        <v>760.4</v>
      </c>
      <c r="Q77" s="39">
        <f t="shared" si="12"/>
        <v>16.632999999999999</v>
      </c>
      <c r="R77" s="144">
        <f t="shared" si="6"/>
        <v>3.8994871794871795</v>
      </c>
      <c r="S77" s="128">
        <f t="shared" si="10"/>
        <v>0.80801554529997566</v>
      </c>
      <c r="T77" s="145">
        <f t="shared" si="11"/>
        <v>3275.4</v>
      </c>
    </row>
    <row r="78" spans="1:72" s="107" customFormat="1" ht="18.75">
      <c r="A78" s="120">
        <v>173</v>
      </c>
      <c r="B78" s="106">
        <v>105</v>
      </c>
      <c r="C78" s="52">
        <v>925.4</v>
      </c>
      <c r="D78" s="52">
        <v>278.2</v>
      </c>
      <c r="E78" s="42">
        <v>247</v>
      </c>
      <c r="F78" s="42">
        <v>295.2</v>
      </c>
      <c r="G78" s="42">
        <v>65.300000000000011</v>
      </c>
      <c r="H78" s="66"/>
      <c r="I78" s="66"/>
      <c r="J78" s="98">
        <v>45.4</v>
      </c>
      <c r="K78" s="44">
        <v>921.2</v>
      </c>
      <c r="L78" s="123">
        <f t="shared" si="7"/>
        <v>2777.7</v>
      </c>
      <c r="M78" s="42">
        <v>22.3</v>
      </c>
      <c r="N78" s="39">
        <f t="shared" si="8"/>
        <v>607.5</v>
      </c>
      <c r="O78" s="100">
        <v>45.4</v>
      </c>
      <c r="P78" s="92">
        <f t="shared" si="9"/>
        <v>652.9</v>
      </c>
      <c r="Q78" s="39">
        <f t="shared" si="12"/>
        <v>26.454000000000001</v>
      </c>
      <c r="R78" s="144">
        <f t="shared" si="6"/>
        <v>6.2180952380952377</v>
      </c>
      <c r="S78" s="128">
        <f t="shared" si="10"/>
        <v>1.2851105173670148</v>
      </c>
      <c r="T78" s="145">
        <f t="shared" si="11"/>
        <v>2800</v>
      </c>
      <c r="U78" s="80"/>
      <c r="V78" s="80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</row>
    <row r="79" spans="1:72" ht="18.75">
      <c r="A79" s="7" t="s">
        <v>109</v>
      </c>
      <c r="B79" s="89">
        <v>166</v>
      </c>
      <c r="C79" s="51">
        <v>893.4</v>
      </c>
      <c r="D79" s="51">
        <v>268.60000000000002</v>
      </c>
      <c r="E79" s="42">
        <v>388.1</v>
      </c>
      <c r="F79" s="42">
        <v>237.9</v>
      </c>
      <c r="G79" s="42">
        <v>75.8</v>
      </c>
      <c r="H79" s="64"/>
      <c r="I79" s="64"/>
      <c r="J79" s="109">
        <v>45.4</v>
      </c>
      <c r="K79" s="42">
        <v>1133.3</v>
      </c>
      <c r="L79" s="123">
        <f t="shared" si="7"/>
        <v>3042.5</v>
      </c>
      <c r="M79" s="42">
        <v>19.600000000000001</v>
      </c>
      <c r="N79" s="39">
        <f t="shared" si="8"/>
        <v>701.8</v>
      </c>
      <c r="O79" s="125">
        <v>45.4</v>
      </c>
      <c r="P79" s="92">
        <f t="shared" si="9"/>
        <v>747.19999999999993</v>
      </c>
      <c r="Q79" s="39">
        <f t="shared" si="12"/>
        <v>18.327999999999999</v>
      </c>
      <c r="R79" s="144">
        <f t="shared" si="6"/>
        <v>4.5012048192771079</v>
      </c>
      <c r="S79" s="128">
        <f t="shared" si="10"/>
        <v>0.89035705610881699</v>
      </c>
      <c r="T79" s="145">
        <f t="shared" si="11"/>
        <v>3062.1</v>
      </c>
    </row>
    <row r="80" spans="1:72" s="107" customFormat="1" ht="18.75">
      <c r="A80" s="120">
        <v>201</v>
      </c>
      <c r="B80" s="106">
        <v>181</v>
      </c>
      <c r="C80" s="52">
        <v>957.3</v>
      </c>
      <c r="D80" s="52">
        <v>287.8</v>
      </c>
      <c r="E80" s="42">
        <v>341.3</v>
      </c>
      <c r="F80" s="42">
        <v>295.5</v>
      </c>
      <c r="G80" s="42">
        <v>93.899999999999991</v>
      </c>
      <c r="H80" s="66"/>
      <c r="I80" s="66"/>
      <c r="J80" s="98">
        <v>45.4</v>
      </c>
      <c r="K80" s="44">
        <v>1250.2</v>
      </c>
      <c r="L80" s="123">
        <f t="shared" si="7"/>
        <v>3271.4</v>
      </c>
      <c r="M80" s="42">
        <v>27</v>
      </c>
      <c r="N80" s="39">
        <f t="shared" si="8"/>
        <v>730.69999999999993</v>
      </c>
      <c r="O80" s="100">
        <v>45.4</v>
      </c>
      <c r="P80" s="92">
        <f t="shared" si="9"/>
        <v>776.09999999999991</v>
      </c>
      <c r="Q80" s="39">
        <f t="shared" si="12"/>
        <v>18.074000000000002</v>
      </c>
      <c r="R80" s="144">
        <f t="shared" si="6"/>
        <v>4.2878453038674031</v>
      </c>
      <c r="S80" s="128">
        <f t="shared" si="10"/>
        <v>0.87801797425309691</v>
      </c>
      <c r="T80" s="145">
        <f t="shared" si="11"/>
        <v>3298.4</v>
      </c>
      <c r="U80" s="80"/>
      <c r="V80" s="80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</row>
    <row r="81" spans="1:72" ht="18.75">
      <c r="A81" s="7" t="s">
        <v>110</v>
      </c>
      <c r="B81" s="89">
        <v>194</v>
      </c>
      <c r="C81" s="51">
        <v>933.4</v>
      </c>
      <c r="D81" s="51">
        <v>280.60000000000002</v>
      </c>
      <c r="E81" s="42">
        <v>266.5</v>
      </c>
      <c r="F81" s="42">
        <v>350.5</v>
      </c>
      <c r="G81" s="42">
        <v>91.3</v>
      </c>
      <c r="H81" s="64"/>
      <c r="I81" s="64"/>
      <c r="J81" s="109">
        <v>45.4</v>
      </c>
      <c r="K81" s="42">
        <v>1279.5</v>
      </c>
      <c r="L81" s="123">
        <f t="shared" si="7"/>
        <v>3247.2</v>
      </c>
      <c r="M81" s="42">
        <v>27.5</v>
      </c>
      <c r="N81" s="39">
        <f t="shared" si="8"/>
        <v>708.3</v>
      </c>
      <c r="O81" s="125">
        <v>45.4</v>
      </c>
      <c r="P81" s="92">
        <f t="shared" si="9"/>
        <v>753.69999999999993</v>
      </c>
      <c r="Q81" s="39">
        <f t="shared" ref="Q81:Q112" si="13">ROUND(L81/B81,3)</f>
        <v>16.738</v>
      </c>
      <c r="R81" s="144">
        <f t="shared" ref="R81:R117" si="14">P81/B81</f>
        <v>3.8850515463917521</v>
      </c>
      <c r="S81" s="128">
        <f t="shared" si="10"/>
        <v>0.81311634685450562</v>
      </c>
      <c r="T81" s="145">
        <f t="shared" si="11"/>
        <v>3274.7</v>
      </c>
    </row>
    <row r="82" spans="1:72" ht="18.75">
      <c r="A82" s="7" t="s">
        <v>111</v>
      </c>
      <c r="B82" s="89">
        <v>191</v>
      </c>
      <c r="C82" s="51">
        <v>981.3</v>
      </c>
      <c r="D82" s="51">
        <v>295</v>
      </c>
      <c r="E82" s="42">
        <v>403</v>
      </c>
      <c r="F82" s="42">
        <v>350.4</v>
      </c>
      <c r="G82" s="42">
        <v>115.6</v>
      </c>
      <c r="H82" s="64"/>
      <c r="I82" s="64"/>
      <c r="J82" s="109">
        <v>45.4</v>
      </c>
      <c r="K82" s="42">
        <v>1363.9</v>
      </c>
      <c r="L82" s="123">
        <f t="shared" ref="L82:L145" si="15">ROUND(C82+D82+H82+J82+K82+F82+G82+E82,1)</f>
        <v>3554.6</v>
      </c>
      <c r="M82" s="42">
        <v>25.8</v>
      </c>
      <c r="N82" s="39">
        <f t="shared" ref="N82:N145" si="16">E82+F82+G82+H82+I82</f>
        <v>869</v>
      </c>
      <c r="O82" s="125">
        <v>45.4</v>
      </c>
      <c r="P82" s="92">
        <f t="shared" ref="P82:P145" si="17">N82+O82</f>
        <v>914.4</v>
      </c>
      <c r="Q82" s="39">
        <f t="shared" si="13"/>
        <v>18.61</v>
      </c>
      <c r="R82" s="144">
        <f t="shared" si="14"/>
        <v>4.7874345549738218</v>
      </c>
      <c r="S82" s="128">
        <f t="shared" ref="S82:S145" si="18">Q82/20.585</f>
        <v>0.90405635171241183</v>
      </c>
      <c r="T82" s="145">
        <f t="shared" ref="T82:T145" si="19">L82+M82</f>
        <v>3580.4</v>
      </c>
    </row>
    <row r="83" spans="1:72" ht="18.75">
      <c r="A83" s="7" t="s">
        <v>112</v>
      </c>
      <c r="B83" s="89">
        <v>235</v>
      </c>
      <c r="C83" s="51">
        <v>1061.3</v>
      </c>
      <c r="D83" s="51">
        <v>319.10000000000002</v>
      </c>
      <c r="E83" s="42">
        <v>539.6</v>
      </c>
      <c r="F83" s="42">
        <v>198.8</v>
      </c>
      <c r="G83" s="42">
        <v>105.30000000000001</v>
      </c>
      <c r="H83" s="64"/>
      <c r="I83" s="64"/>
      <c r="J83" s="109">
        <v>45.4</v>
      </c>
      <c r="K83" s="42">
        <v>1468.6</v>
      </c>
      <c r="L83" s="123">
        <f t="shared" si="15"/>
        <v>3738.1</v>
      </c>
      <c r="M83" s="42">
        <v>25.9</v>
      </c>
      <c r="N83" s="39">
        <f t="shared" si="16"/>
        <v>843.7</v>
      </c>
      <c r="O83" s="125">
        <v>45.4</v>
      </c>
      <c r="P83" s="92">
        <f t="shared" si="17"/>
        <v>889.1</v>
      </c>
      <c r="Q83" s="39">
        <f t="shared" si="13"/>
        <v>15.907</v>
      </c>
      <c r="R83" s="144">
        <f t="shared" si="14"/>
        <v>3.7834042553191489</v>
      </c>
      <c r="S83" s="128">
        <f t="shared" si="18"/>
        <v>0.77274714598008254</v>
      </c>
      <c r="T83" s="145">
        <f t="shared" si="19"/>
        <v>3764</v>
      </c>
    </row>
    <row r="84" spans="1:72" ht="18.75">
      <c r="A84" s="7" t="s">
        <v>113</v>
      </c>
      <c r="B84" s="89">
        <v>157</v>
      </c>
      <c r="C84" s="51">
        <v>877.5</v>
      </c>
      <c r="D84" s="51">
        <v>263.8</v>
      </c>
      <c r="E84" s="42">
        <v>357.6</v>
      </c>
      <c r="F84" s="42">
        <v>167.1</v>
      </c>
      <c r="G84" s="42">
        <v>25.5</v>
      </c>
      <c r="H84" s="42">
        <v>0</v>
      </c>
      <c r="I84" s="42">
        <v>71.8</v>
      </c>
      <c r="J84" s="109">
        <v>44.2</v>
      </c>
      <c r="K84" s="42">
        <v>1015</v>
      </c>
      <c r="L84" s="123">
        <f>ROUND(C84+D84+H84+J84+K84+F84+G84+E84+I84,1)</f>
        <v>2822.5</v>
      </c>
      <c r="M84" s="42">
        <v>48.8</v>
      </c>
      <c r="N84" s="39">
        <f t="shared" si="16"/>
        <v>622</v>
      </c>
      <c r="O84" s="125">
        <v>44.2</v>
      </c>
      <c r="P84" s="92">
        <f t="shared" si="17"/>
        <v>666.2</v>
      </c>
      <c r="Q84" s="39">
        <f t="shared" si="13"/>
        <v>17.978000000000002</v>
      </c>
      <c r="R84" s="144">
        <f t="shared" si="14"/>
        <v>4.2433121019108286</v>
      </c>
      <c r="S84" s="128">
        <f t="shared" si="18"/>
        <v>0.87335438426038381</v>
      </c>
      <c r="T84" s="145">
        <f t="shared" si="19"/>
        <v>2871.3</v>
      </c>
    </row>
    <row r="85" spans="1:72" ht="18.75">
      <c r="A85" s="7" t="s">
        <v>114</v>
      </c>
      <c r="B85" s="89">
        <v>123</v>
      </c>
      <c r="C85" s="51">
        <v>789.6</v>
      </c>
      <c r="D85" s="51">
        <v>237.4</v>
      </c>
      <c r="E85" s="42">
        <v>214.5</v>
      </c>
      <c r="F85" s="42">
        <v>83.6</v>
      </c>
      <c r="G85" s="42">
        <v>35.299999999999997</v>
      </c>
      <c r="H85" s="64"/>
      <c r="I85" s="64"/>
      <c r="J85" s="109">
        <v>38.299999999999997</v>
      </c>
      <c r="K85" s="42">
        <v>738.3</v>
      </c>
      <c r="L85" s="123">
        <f t="shared" si="15"/>
        <v>2137</v>
      </c>
      <c r="M85" s="42">
        <v>13.7</v>
      </c>
      <c r="N85" s="39">
        <f t="shared" si="16"/>
        <v>333.40000000000003</v>
      </c>
      <c r="O85" s="125">
        <v>38.299999999999997</v>
      </c>
      <c r="P85" s="92">
        <f t="shared" si="17"/>
        <v>371.70000000000005</v>
      </c>
      <c r="Q85" s="39">
        <f t="shared" si="13"/>
        <v>17.373999999999999</v>
      </c>
      <c r="R85" s="144">
        <f t="shared" si="14"/>
        <v>3.0219512195121956</v>
      </c>
      <c r="S85" s="128">
        <f t="shared" si="18"/>
        <v>0.84401263055623021</v>
      </c>
      <c r="T85" s="145">
        <f t="shared" si="19"/>
        <v>2150.6999999999998</v>
      </c>
    </row>
    <row r="86" spans="1:72" ht="18.75">
      <c r="A86" s="7" t="s">
        <v>115</v>
      </c>
      <c r="B86" s="89">
        <v>225</v>
      </c>
      <c r="C86" s="7">
        <v>1061.3</v>
      </c>
      <c r="D86" s="7">
        <v>319.10000000000002</v>
      </c>
      <c r="E86" s="42">
        <v>377.1</v>
      </c>
      <c r="F86" s="42">
        <v>296.5</v>
      </c>
      <c r="G86" s="42">
        <v>83.9</v>
      </c>
      <c r="H86" s="64"/>
      <c r="I86" s="64"/>
      <c r="J86" s="109">
        <v>45.4</v>
      </c>
      <c r="K86" s="42">
        <v>1615.9</v>
      </c>
      <c r="L86" s="123">
        <f t="shared" si="15"/>
        <v>3799.2</v>
      </c>
      <c r="M86" s="42">
        <v>29.7</v>
      </c>
      <c r="N86" s="39">
        <f t="shared" si="16"/>
        <v>757.5</v>
      </c>
      <c r="O86" s="125">
        <v>45.4</v>
      </c>
      <c r="P86" s="92">
        <f t="shared" si="17"/>
        <v>802.9</v>
      </c>
      <c r="Q86" s="39">
        <f t="shared" si="13"/>
        <v>16.885000000000002</v>
      </c>
      <c r="R86" s="144">
        <f t="shared" si="14"/>
        <v>3.5684444444444443</v>
      </c>
      <c r="S86" s="128">
        <f t="shared" si="18"/>
        <v>0.82025746903084773</v>
      </c>
      <c r="T86" s="145">
        <f t="shared" si="19"/>
        <v>3828.8999999999996</v>
      </c>
    </row>
    <row r="87" spans="1:72" s="107" customFormat="1" ht="18.75">
      <c r="A87" s="120">
        <v>6</v>
      </c>
      <c r="B87" s="106">
        <v>189</v>
      </c>
      <c r="C87" s="90">
        <v>1738.9</v>
      </c>
      <c r="D87" s="90">
        <v>522.79999999999995</v>
      </c>
      <c r="E87" s="42">
        <v>504.7</v>
      </c>
      <c r="F87" s="42">
        <v>538.79999999999995</v>
      </c>
      <c r="G87" s="42">
        <v>175.7</v>
      </c>
      <c r="H87" s="66"/>
      <c r="I87" s="66"/>
      <c r="J87" s="98">
        <v>64</v>
      </c>
      <c r="K87" s="44">
        <v>2182.1</v>
      </c>
      <c r="L87" s="123">
        <f t="shared" si="15"/>
        <v>5727</v>
      </c>
      <c r="M87" s="42">
        <v>50.6</v>
      </c>
      <c r="N87" s="39">
        <f t="shared" si="16"/>
        <v>1219.2</v>
      </c>
      <c r="O87" s="100">
        <v>64</v>
      </c>
      <c r="P87" s="92">
        <f t="shared" si="17"/>
        <v>1283.2</v>
      </c>
      <c r="Q87" s="39">
        <f t="shared" si="13"/>
        <v>30.302</v>
      </c>
      <c r="R87" s="144">
        <f t="shared" si="14"/>
        <v>6.7894179894179896</v>
      </c>
      <c r="S87" s="128">
        <f t="shared" si="18"/>
        <v>1.4720427495749331</v>
      </c>
      <c r="T87" s="145">
        <f t="shared" si="19"/>
        <v>5777.6</v>
      </c>
      <c r="U87" s="80"/>
      <c r="V87" s="80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7"/>
      <c r="BR87" s="87"/>
      <c r="BS87" s="87"/>
      <c r="BT87" s="87"/>
    </row>
    <row r="88" spans="1:72" ht="18.75">
      <c r="A88" s="7" t="s">
        <v>116</v>
      </c>
      <c r="B88" s="89">
        <v>190</v>
      </c>
      <c r="C88" s="7">
        <v>901.4</v>
      </c>
      <c r="D88" s="7">
        <v>271</v>
      </c>
      <c r="E88" s="42">
        <v>468.1</v>
      </c>
      <c r="F88" s="42">
        <v>203.3</v>
      </c>
      <c r="G88" s="42">
        <v>70</v>
      </c>
      <c r="H88" s="64"/>
      <c r="I88" s="64"/>
      <c r="J88" s="109">
        <v>45.4</v>
      </c>
      <c r="K88" s="42">
        <v>1424.3</v>
      </c>
      <c r="L88" s="123">
        <f t="shared" si="15"/>
        <v>3383.5</v>
      </c>
      <c r="M88" s="42">
        <v>20.399999999999999</v>
      </c>
      <c r="N88" s="39">
        <f t="shared" si="16"/>
        <v>741.40000000000009</v>
      </c>
      <c r="O88" s="125">
        <v>45.4</v>
      </c>
      <c r="P88" s="92">
        <f t="shared" si="17"/>
        <v>786.80000000000007</v>
      </c>
      <c r="Q88" s="39">
        <f t="shared" si="13"/>
        <v>17.808</v>
      </c>
      <c r="R88" s="144">
        <f t="shared" si="14"/>
        <v>4.1410526315789475</v>
      </c>
      <c r="S88" s="128">
        <f t="shared" si="18"/>
        <v>0.86509594364828757</v>
      </c>
      <c r="T88" s="145">
        <f t="shared" si="19"/>
        <v>3403.9</v>
      </c>
    </row>
    <row r="89" spans="1:72" ht="18.75">
      <c r="A89" s="7" t="s">
        <v>117</v>
      </c>
      <c r="B89" s="89">
        <v>170</v>
      </c>
      <c r="C89" s="7">
        <v>893.4</v>
      </c>
      <c r="D89" s="7">
        <v>268.60000000000002</v>
      </c>
      <c r="E89" s="42">
        <v>438.8</v>
      </c>
      <c r="F89" s="42">
        <v>132.5</v>
      </c>
      <c r="G89" s="42">
        <v>71.3</v>
      </c>
      <c r="H89" s="64"/>
      <c r="I89" s="64"/>
      <c r="J89" s="109">
        <v>45.4</v>
      </c>
      <c r="K89" s="42">
        <v>1161.3</v>
      </c>
      <c r="L89" s="123">
        <f t="shared" si="15"/>
        <v>3011.3</v>
      </c>
      <c r="M89" s="42">
        <v>20</v>
      </c>
      <c r="N89" s="39">
        <f t="shared" si="16"/>
        <v>642.59999999999991</v>
      </c>
      <c r="O89" s="125">
        <v>45.4</v>
      </c>
      <c r="P89" s="92">
        <f t="shared" si="17"/>
        <v>687.99999999999989</v>
      </c>
      <c r="Q89" s="39">
        <f t="shared" si="13"/>
        <v>17.713999999999999</v>
      </c>
      <c r="R89" s="144">
        <f t="shared" si="14"/>
        <v>4.0470588235294107</v>
      </c>
      <c r="S89" s="128">
        <f t="shared" si="18"/>
        <v>0.86052951178042258</v>
      </c>
      <c r="T89" s="145">
        <f t="shared" si="19"/>
        <v>3031.3</v>
      </c>
    </row>
    <row r="90" spans="1:72" ht="18.75">
      <c r="A90" s="7" t="s">
        <v>118</v>
      </c>
      <c r="B90" s="89">
        <v>153</v>
      </c>
      <c r="C90" s="7">
        <v>685.7</v>
      </c>
      <c r="D90" s="7">
        <v>206.2</v>
      </c>
      <c r="E90" s="42">
        <v>276.2</v>
      </c>
      <c r="F90" s="42">
        <v>119.3</v>
      </c>
      <c r="G90" s="42">
        <v>34.6</v>
      </c>
      <c r="H90" s="64"/>
      <c r="I90" s="64"/>
      <c r="J90" s="109">
        <v>44.2</v>
      </c>
      <c r="K90" s="42">
        <v>1064.4000000000001</v>
      </c>
      <c r="L90" s="123">
        <f t="shared" si="15"/>
        <v>2430.6</v>
      </c>
      <c r="M90" s="42">
        <v>28.2</v>
      </c>
      <c r="N90" s="39">
        <f t="shared" si="16"/>
        <v>430.1</v>
      </c>
      <c r="O90" s="125">
        <v>44.2</v>
      </c>
      <c r="P90" s="92">
        <f t="shared" si="17"/>
        <v>474.3</v>
      </c>
      <c r="Q90" s="39">
        <f t="shared" si="13"/>
        <v>15.885999999999999</v>
      </c>
      <c r="R90" s="144">
        <f t="shared" si="14"/>
        <v>3.1</v>
      </c>
      <c r="S90" s="128">
        <f t="shared" si="18"/>
        <v>0.77172698566917652</v>
      </c>
      <c r="T90" s="145">
        <f t="shared" si="19"/>
        <v>2458.7999999999997</v>
      </c>
    </row>
    <row r="91" spans="1:72" ht="18.75">
      <c r="A91" s="7" t="s">
        <v>119</v>
      </c>
      <c r="B91" s="89">
        <v>235</v>
      </c>
      <c r="C91" s="7">
        <v>1061.3</v>
      </c>
      <c r="D91" s="7">
        <v>319.10000000000002</v>
      </c>
      <c r="E91" s="42">
        <v>237.3</v>
      </c>
      <c r="F91" s="42">
        <v>281.10000000000002</v>
      </c>
      <c r="G91" s="42">
        <v>115.6</v>
      </c>
      <c r="H91" s="64"/>
      <c r="I91" s="64"/>
      <c r="J91" s="109">
        <v>45.4</v>
      </c>
      <c r="K91" s="42">
        <v>1617.3</v>
      </c>
      <c r="L91" s="123">
        <f t="shared" si="15"/>
        <v>3677.1</v>
      </c>
      <c r="M91" s="42">
        <v>27.5</v>
      </c>
      <c r="N91" s="39">
        <f t="shared" si="16"/>
        <v>634.00000000000011</v>
      </c>
      <c r="O91" s="125">
        <v>45.4</v>
      </c>
      <c r="P91" s="92">
        <f t="shared" si="17"/>
        <v>679.40000000000009</v>
      </c>
      <c r="Q91" s="39">
        <f t="shared" si="13"/>
        <v>15.647</v>
      </c>
      <c r="R91" s="144">
        <f t="shared" si="14"/>
        <v>2.8910638297872344</v>
      </c>
      <c r="S91" s="128">
        <f t="shared" si="18"/>
        <v>0.76011658974981777</v>
      </c>
      <c r="T91" s="145">
        <f t="shared" si="19"/>
        <v>3704.6</v>
      </c>
    </row>
    <row r="92" spans="1:72" s="107" customFormat="1" ht="18.75">
      <c r="A92" s="120">
        <v>50</v>
      </c>
      <c r="B92" s="106">
        <v>269</v>
      </c>
      <c r="C92" s="90">
        <v>1523.2</v>
      </c>
      <c r="D92" s="90">
        <v>457.9</v>
      </c>
      <c r="E92" s="42">
        <v>544.79999999999995</v>
      </c>
      <c r="F92" s="42">
        <v>300.39999999999998</v>
      </c>
      <c r="G92" s="42">
        <v>109.1</v>
      </c>
      <c r="H92" s="66">
        <v>28.1</v>
      </c>
      <c r="I92" s="66"/>
      <c r="J92" s="98">
        <v>59.9</v>
      </c>
      <c r="K92" s="44">
        <v>1822</v>
      </c>
      <c r="L92" s="123">
        <f>ROUND(C92+D92+H92+J92+K92+F92+G92+E92,1)</f>
        <v>4845.3999999999996</v>
      </c>
      <c r="M92" s="42">
        <v>34.299999999999997</v>
      </c>
      <c r="N92" s="39">
        <f t="shared" si="16"/>
        <v>982.4</v>
      </c>
      <c r="O92" s="100">
        <v>59.9</v>
      </c>
      <c r="P92" s="92">
        <f t="shared" si="17"/>
        <v>1042.3</v>
      </c>
      <c r="Q92" s="39">
        <f t="shared" si="13"/>
        <v>18.013000000000002</v>
      </c>
      <c r="R92" s="144">
        <f t="shared" si="14"/>
        <v>3.874721189591078</v>
      </c>
      <c r="S92" s="128">
        <f t="shared" si="18"/>
        <v>0.87505465144522721</v>
      </c>
      <c r="T92" s="145">
        <f t="shared" si="19"/>
        <v>4879.7</v>
      </c>
      <c r="U92" s="80"/>
      <c r="V92" s="80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</row>
    <row r="93" spans="1:72" ht="18.75">
      <c r="A93" s="7" t="s">
        <v>120</v>
      </c>
      <c r="B93" s="89">
        <v>191</v>
      </c>
      <c r="C93" s="7">
        <v>949.3</v>
      </c>
      <c r="D93" s="7">
        <v>285.39999999999998</v>
      </c>
      <c r="E93" s="42">
        <v>695.7</v>
      </c>
      <c r="F93" s="42">
        <v>145.80000000000001</v>
      </c>
      <c r="G93" s="42">
        <v>72.599999999999994</v>
      </c>
      <c r="H93" s="64"/>
      <c r="I93" s="64"/>
      <c r="J93" s="109">
        <v>45.4</v>
      </c>
      <c r="K93" s="42">
        <v>1301.5999999999999</v>
      </c>
      <c r="L93" s="123">
        <f t="shared" si="15"/>
        <v>3495.8</v>
      </c>
      <c r="M93" s="42">
        <v>20.8</v>
      </c>
      <c r="N93" s="39">
        <f t="shared" si="16"/>
        <v>914.1</v>
      </c>
      <c r="O93" s="125">
        <v>45.4</v>
      </c>
      <c r="P93" s="92">
        <f t="shared" si="17"/>
        <v>959.5</v>
      </c>
      <c r="Q93" s="39">
        <f t="shared" si="13"/>
        <v>18.303000000000001</v>
      </c>
      <c r="R93" s="144">
        <f t="shared" si="14"/>
        <v>5.0235602094240841</v>
      </c>
      <c r="S93" s="128">
        <f t="shared" si="18"/>
        <v>0.88914257954821474</v>
      </c>
      <c r="T93" s="145">
        <f t="shared" si="19"/>
        <v>3516.6000000000004</v>
      </c>
    </row>
    <row r="94" spans="1:72" ht="18.75">
      <c r="A94" s="7" t="s">
        <v>121</v>
      </c>
      <c r="B94" s="89">
        <v>201</v>
      </c>
      <c r="C94" s="7">
        <v>1053.3</v>
      </c>
      <c r="D94" s="7">
        <v>316.7</v>
      </c>
      <c r="E94" s="42">
        <v>452.7</v>
      </c>
      <c r="F94" s="42">
        <v>119.3</v>
      </c>
      <c r="G94" s="42">
        <v>88</v>
      </c>
      <c r="H94" s="64"/>
      <c r="I94" s="64"/>
      <c r="J94" s="109">
        <v>45.4</v>
      </c>
      <c r="K94" s="42">
        <v>1399.6</v>
      </c>
      <c r="L94" s="123">
        <f t="shared" si="15"/>
        <v>3475</v>
      </c>
      <c r="M94" s="42">
        <v>24.6</v>
      </c>
      <c r="N94" s="39">
        <f t="shared" si="16"/>
        <v>660</v>
      </c>
      <c r="O94" s="125">
        <v>45.4</v>
      </c>
      <c r="P94" s="92">
        <f t="shared" si="17"/>
        <v>705.4</v>
      </c>
      <c r="Q94" s="39">
        <f t="shared" si="13"/>
        <v>17.289000000000001</v>
      </c>
      <c r="R94" s="144">
        <f t="shared" si="14"/>
        <v>3.509452736318408</v>
      </c>
      <c r="S94" s="128">
        <f t="shared" si="18"/>
        <v>0.83988341025018221</v>
      </c>
      <c r="T94" s="145">
        <f t="shared" si="19"/>
        <v>3499.6</v>
      </c>
    </row>
    <row r="95" spans="1:72" s="107" customFormat="1" ht="18.75">
      <c r="A95" s="120">
        <v>91</v>
      </c>
      <c r="B95" s="106">
        <v>243</v>
      </c>
      <c r="C95" s="90">
        <v>1443.2</v>
      </c>
      <c r="D95" s="90">
        <v>433.9</v>
      </c>
      <c r="E95" s="42">
        <v>461.6</v>
      </c>
      <c r="F95" s="42">
        <v>355.70000000000005</v>
      </c>
      <c r="G95" s="42">
        <v>76.399999999999991</v>
      </c>
      <c r="H95" s="66"/>
      <c r="I95" s="66"/>
      <c r="J95" s="98">
        <v>61.3</v>
      </c>
      <c r="K95" s="44">
        <v>1725.1</v>
      </c>
      <c r="L95" s="123">
        <f t="shared" si="15"/>
        <v>4557.2</v>
      </c>
      <c r="M95" s="42">
        <v>42.1</v>
      </c>
      <c r="N95" s="39">
        <f t="shared" si="16"/>
        <v>893.7</v>
      </c>
      <c r="O95" s="100">
        <v>61.3</v>
      </c>
      <c r="P95" s="92">
        <f t="shared" si="17"/>
        <v>955</v>
      </c>
      <c r="Q95" s="39">
        <f t="shared" si="13"/>
        <v>18.754000000000001</v>
      </c>
      <c r="R95" s="144">
        <f t="shared" si="14"/>
        <v>3.9300411522633745</v>
      </c>
      <c r="S95" s="128">
        <f t="shared" si="18"/>
        <v>0.91105173670148165</v>
      </c>
      <c r="T95" s="145">
        <f t="shared" si="19"/>
        <v>4599.3</v>
      </c>
      <c r="U95" s="80"/>
      <c r="V95" s="80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</row>
    <row r="96" spans="1:72" ht="18.75">
      <c r="A96" s="7" t="s">
        <v>122</v>
      </c>
      <c r="B96" s="89">
        <v>182</v>
      </c>
      <c r="C96" s="7">
        <v>893.4</v>
      </c>
      <c r="D96" s="7">
        <v>268.60000000000002</v>
      </c>
      <c r="E96" s="42">
        <v>347.8</v>
      </c>
      <c r="F96" s="42">
        <v>208.5</v>
      </c>
      <c r="G96" s="42">
        <v>147</v>
      </c>
      <c r="H96" s="64"/>
      <c r="I96" s="64"/>
      <c r="J96" s="109">
        <v>45.4</v>
      </c>
      <c r="K96" s="42">
        <v>1153.4000000000001</v>
      </c>
      <c r="L96" s="123">
        <f t="shared" si="15"/>
        <v>3064.1</v>
      </c>
      <c r="M96" s="42">
        <v>36.9</v>
      </c>
      <c r="N96" s="39">
        <f t="shared" si="16"/>
        <v>703.3</v>
      </c>
      <c r="O96" s="125">
        <v>45.4</v>
      </c>
      <c r="P96" s="92">
        <f t="shared" si="17"/>
        <v>748.69999999999993</v>
      </c>
      <c r="Q96" s="39">
        <f t="shared" si="13"/>
        <v>16.835999999999999</v>
      </c>
      <c r="R96" s="144">
        <f t="shared" si="14"/>
        <v>4.1137362637362633</v>
      </c>
      <c r="S96" s="128">
        <f t="shared" si="18"/>
        <v>0.81787709497206695</v>
      </c>
      <c r="T96" s="145">
        <f t="shared" si="19"/>
        <v>3101</v>
      </c>
    </row>
    <row r="97" spans="1:72" ht="18.75">
      <c r="A97" s="7" t="s">
        <v>123</v>
      </c>
      <c r="B97" s="89">
        <v>495</v>
      </c>
      <c r="C97" s="7">
        <v>1850.8</v>
      </c>
      <c r="D97" s="7">
        <v>556.4</v>
      </c>
      <c r="E97" s="42">
        <v>718.4</v>
      </c>
      <c r="F97" s="42">
        <v>701.9</v>
      </c>
      <c r="G97" s="42">
        <v>250.1</v>
      </c>
      <c r="H97" s="64"/>
      <c r="I97" s="64"/>
      <c r="J97" s="109">
        <v>76.599999999999994</v>
      </c>
      <c r="K97" s="42">
        <v>3412.1</v>
      </c>
      <c r="L97" s="123">
        <f t="shared" si="15"/>
        <v>7566.3</v>
      </c>
      <c r="M97" s="42">
        <v>62</v>
      </c>
      <c r="N97" s="39">
        <f t="shared" si="16"/>
        <v>1670.3999999999999</v>
      </c>
      <c r="O97" s="125">
        <v>76.599999999999994</v>
      </c>
      <c r="P97" s="92">
        <f t="shared" si="17"/>
        <v>1746.9999999999998</v>
      </c>
      <c r="Q97" s="39">
        <f t="shared" si="13"/>
        <v>15.285</v>
      </c>
      <c r="R97" s="144">
        <f t="shared" si="14"/>
        <v>3.5292929292929287</v>
      </c>
      <c r="S97" s="128">
        <f t="shared" si="18"/>
        <v>0.74253096915229533</v>
      </c>
      <c r="T97" s="145">
        <f t="shared" si="19"/>
        <v>7628.3</v>
      </c>
    </row>
    <row r="98" spans="1:72" ht="18.75">
      <c r="A98" s="7" t="s">
        <v>124</v>
      </c>
      <c r="B98" s="89">
        <v>185</v>
      </c>
      <c r="C98" s="7">
        <v>925.4</v>
      </c>
      <c r="D98" s="7">
        <v>278.2</v>
      </c>
      <c r="E98" s="42">
        <v>611.1</v>
      </c>
      <c r="F98" s="42">
        <v>178.9</v>
      </c>
      <c r="G98" s="42">
        <v>75.2</v>
      </c>
      <c r="H98" s="64"/>
      <c r="I98" s="64"/>
      <c r="J98" s="109">
        <v>45.4</v>
      </c>
      <c r="K98" s="42">
        <v>1200.2</v>
      </c>
      <c r="L98" s="123">
        <f t="shared" si="15"/>
        <v>3314.4</v>
      </c>
      <c r="M98" s="42">
        <v>21.2</v>
      </c>
      <c r="N98" s="39">
        <f t="shared" si="16"/>
        <v>865.2</v>
      </c>
      <c r="O98" s="125">
        <v>45.4</v>
      </c>
      <c r="P98" s="92">
        <f t="shared" si="17"/>
        <v>910.6</v>
      </c>
      <c r="Q98" s="39">
        <f t="shared" si="13"/>
        <v>17.916</v>
      </c>
      <c r="R98" s="144">
        <f t="shared" si="14"/>
        <v>4.9221621621621621</v>
      </c>
      <c r="S98" s="128">
        <f t="shared" si="18"/>
        <v>0.87034248239008982</v>
      </c>
      <c r="T98" s="145">
        <f t="shared" si="19"/>
        <v>3335.6</v>
      </c>
    </row>
    <row r="99" spans="1:72" ht="18.75">
      <c r="A99" s="7" t="s">
        <v>125</v>
      </c>
      <c r="B99" s="89">
        <v>197</v>
      </c>
      <c r="C99" s="7">
        <v>973.4</v>
      </c>
      <c r="D99" s="7">
        <v>292.60000000000002</v>
      </c>
      <c r="E99" s="42">
        <v>520.1</v>
      </c>
      <c r="F99" s="42">
        <v>152.4</v>
      </c>
      <c r="G99" s="42">
        <v>75.2</v>
      </c>
      <c r="H99" s="64"/>
      <c r="I99" s="64"/>
      <c r="J99" s="109">
        <v>45.4</v>
      </c>
      <c r="K99" s="42">
        <v>1473</v>
      </c>
      <c r="L99" s="123">
        <f t="shared" si="15"/>
        <v>3532.1</v>
      </c>
      <c r="M99" s="42">
        <v>20.399999999999999</v>
      </c>
      <c r="N99" s="39">
        <f t="shared" si="16"/>
        <v>747.7</v>
      </c>
      <c r="O99" s="125">
        <v>45.4</v>
      </c>
      <c r="P99" s="92">
        <f t="shared" si="17"/>
        <v>793.1</v>
      </c>
      <c r="Q99" s="39">
        <f t="shared" si="13"/>
        <v>17.928999999999998</v>
      </c>
      <c r="R99" s="144">
        <f t="shared" si="14"/>
        <v>4.0258883248730966</v>
      </c>
      <c r="S99" s="128">
        <f t="shared" si="18"/>
        <v>0.87097401020160303</v>
      </c>
      <c r="T99" s="145">
        <f t="shared" si="19"/>
        <v>3552.5</v>
      </c>
    </row>
    <row r="100" spans="1:72" ht="18.75">
      <c r="A100" s="7" t="s">
        <v>126</v>
      </c>
      <c r="B100" s="89">
        <v>417</v>
      </c>
      <c r="C100" s="7">
        <v>1762.9</v>
      </c>
      <c r="D100" s="7">
        <v>530</v>
      </c>
      <c r="E100" s="42">
        <v>603</v>
      </c>
      <c r="F100" s="42">
        <v>546</v>
      </c>
      <c r="G100" s="42">
        <v>172.4</v>
      </c>
      <c r="H100" s="64"/>
      <c r="I100" s="64"/>
      <c r="J100" s="109">
        <v>70.5</v>
      </c>
      <c r="K100" s="42">
        <v>2884.5</v>
      </c>
      <c r="L100" s="123">
        <f t="shared" si="15"/>
        <v>6569.3</v>
      </c>
      <c r="M100" s="42">
        <v>22.3</v>
      </c>
      <c r="N100" s="39">
        <f t="shared" si="16"/>
        <v>1321.4</v>
      </c>
      <c r="O100" s="125">
        <v>70.5</v>
      </c>
      <c r="P100" s="92">
        <f t="shared" si="17"/>
        <v>1391.9</v>
      </c>
      <c r="Q100" s="39">
        <f t="shared" si="13"/>
        <v>15.754</v>
      </c>
      <c r="R100" s="144">
        <f t="shared" si="14"/>
        <v>3.3378896882494007</v>
      </c>
      <c r="S100" s="128">
        <f t="shared" si="18"/>
        <v>0.76531454942919597</v>
      </c>
      <c r="T100" s="145">
        <f t="shared" si="19"/>
        <v>6591.6</v>
      </c>
    </row>
    <row r="101" spans="1:72" ht="18.75">
      <c r="A101" s="7" t="s">
        <v>127</v>
      </c>
      <c r="B101" s="89">
        <v>286</v>
      </c>
      <c r="C101" s="7">
        <v>1635</v>
      </c>
      <c r="D101" s="7">
        <v>491.6</v>
      </c>
      <c r="E101" s="42">
        <v>627.6</v>
      </c>
      <c r="F101" s="42">
        <v>245.9</v>
      </c>
      <c r="G101" s="42">
        <v>104.1</v>
      </c>
      <c r="H101" s="64"/>
      <c r="I101" s="64"/>
      <c r="J101" s="109">
        <v>59.9</v>
      </c>
      <c r="K101" s="42">
        <v>2011.8</v>
      </c>
      <c r="L101" s="123">
        <f t="shared" si="15"/>
        <v>5175.8999999999996</v>
      </c>
      <c r="M101" s="42">
        <v>26.6</v>
      </c>
      <c r="N101" s="39">
        <f t="shared" si="16"/>
        <v>977.6</v>
      </c>
      <c r="O101" s="125">
        <v>59.9</v>
      </c>
      <c r="P101" s="92">
        <f t="shared" si="17"/>
        <v>1037.5</v>
      </c>
      <c r="Q101" s="39">
        <f t="shared" si="13"/>
        <v>18.097999999999999</v>
      </c>
      <c r="R101" s="144">
        <f t="shared" si="14"/>
        <v>3.6276223776223775</v>
      </c>
      <c r="S101" s="128">
        <f t="shared" si="18"/>
        <v>0.8791838717512751</v>
      </c>
      <c r="T101" s="145">
        <f t="shared" si="19"/>
        <v>5202.5</v>
      </c>
    </row>
    <row r="102" spans="1:72" ht="18.75">
      <c r="A102" s="7" t="s">
        <v>128</v>
      </c>
      <c r="B102" s="89">
        <v>223</v>
      </c>
      <c r="C102" s="7">
        <v>1013.3</v>
      </c>
      <c r="D102" s="7">
        <v>304.60000000000002</v>
      </c>
      <c r="E102" s="42">
        <v>416.1</v>
      </c>
      <c r="F102" s="42">
        <v>343.5</v>
      </c>
      <c r="G102" s="42">
        <v>75.599999999999994</v>
      </c>
      <c r="H102" s="64"/>
      <c r="I102" s="64"/>
      <c r="J102" s="109">
        <v>45.4</v>
      </c>
      <c r="K102" s="42">
        <v>1728.9</v>
      </c>
      <c r="L102" s="123">
        <f t="shared" si="15"/>
        <v>3927.4</v>
      </c>
      <c r="M102" s="42">
        <v>39.6</v>
      </c>
      <c r="N102" s="39">
        <f t="shared" si="16"/>
        <v>835.2</v>
      </c>
      <c r="O102" s="125">
        <v>45.4</v>
      </c>
      <c r="P102" s="92">
        <f t="shared" si="17"/>
        <v>880.6</v>
      </c>
      <c r="Q102" s="39">
        <f t="shared" si="13"/>
        <v>17.611999999999998</v>
      </c>
      <c r="R102" s="144">
        <f t="shared" si="14"/>
        <v>3.948878923766816</v>
      </c>
      <c r="S102" s="128">
        <f t="shared" si="18"/>
        <v>0.8555744474131648</v>
      </c>
      <c r="T102" s="145">
        <f t="shared" si="19"/>
        <v>3967</v>
      </c>
    </row>
    <row r="103" spans="1:72" ht="18.75">
      <c r="A103" s="7" t="s">
        <v>129</v>
      </c>
      <c r="B103" s="89">
        <v>113</v>
      </c>
      <c r="C103" s="42">
        <v>757.6</v>
      </c>
      <c r="D103" s="42">
        <v>227.8</v>
      </c>
      <c r="E103" s="42">
        <v>390.1</v>
      </c>
      <c r="F103" s="42">
        <v>165.7</v>
      </c>
      <c r="G103" s="42">
        <v>79.2</v>
      </c>
      <c r="H103" s="64"/>
      <c r="I103" s="64"/>
      <c r="J103" s="109">
        <v>38.299999999999997</v>
      </c>
      <c r="K103" s="42">
        <v>731</v>
      </c>
      <c r="L103" s="123">
        <f t="shared" si="15"/>
        <v>2389.6999999999998</v>
      </c>
      <c r="M103" s="42">
        <v>21.8</v>
      </c>
      <c r="N103" s="39">
        <f t="shared" si="16"/>
        <v>635</v>
      </c>
      <c r="O103" s="125">
        <v>38.299999999999997</v>
      </c>
      <c r="P103" s="92">
        <f t="shared" si="17"/>
        <v>673.3</v>
      </c>
      <c r="Q103" s="39">
        <f t="shared" si="13"/>
        <v>21.148</v>
      </c>
      <c r="R103" s="144">
        <f t="shared" si="14"/>
        <v>5.9584070796460171</v>
      </c>
      <c r="S103" s="128">
        <f t="shared" si="18"/>
        <v>1.0273500121447656</v>
      </c>
      <c r="T103" s="145">
        <f t="shared" si="19"/>
        <v>2411.5</v>
      </c>
    </row>
    <row r="104" spans="1:72" ht="18.75">
      <c r="A104" s="7" t="s">
        <v>130</v>
      </c>
      <c r="B104" s="89">
        <v>358</v>
      </c>
      <c r="C104" s="42">
        <v>1388.9</v>
      </c>
      <c r="D104" s="42">
        <v>417.6</v>
      </c>
      <c r="E104" s="42">
        <v>604.6</v>
      </c>
      <c r="F104" s="42">
        <v>566.79999999999995</v>
      </c>
      <c r="G104" s="42">
        <v>193.39999999999998</v>
      </c>
      <c r="H104" s="64"/>
      <c r="I104" s="64"/>
      <c r="J104" s="109">
        <v>58.7</v>
      </c>
      <c r="K104" s="42">
        <v>2372.5</v>
      </c>
      <c r="L104" s="123">
        <f t="shared" si="15"/>
        <v>5602.5</v>
      </c>
      <c r="M104" s="42">
        <v>40.4</v>
      </c>
      <c r="N104" s="39">
        <f t="shared" si="16"/>
        <v>1364.8000000000002</v>
      </c>
      <c r="O104" s="125">
        <v>58.7</v>
      </c>
      <c r="P104" s="92">
        <f t="shared" si="17"/>
        <v>1423.5000000000002</v>
      </c>
      <c r="Q104" s="39">
        <f t="shared" si="13"/>
        <v>15.648999999999999</v>
      </c>
      <c r="R104" s="144">
        <f t="shared" si="14"/>
        <v>3.9762569832402241</v>
      </c>
      <c r="S104" s="128">
        <f t="shared" si="18"/>
        <v>0.76021374787466589</v>
      </c>
      <c r="T104" s="145">
        <f t="shared" si="19"/>
        <v>5642.9</v>
      </c>
    </row>
    <row r="105" spans="1:72" ht="18.75">
      <c r="A105" s="7" t="s">
        <v>131</v>
      </c>
      <c r="B105" s="89">
        <v>488</v>
      </c>
      <c r="C105" s="42">
        <v>1636.7</v>
      </c>
      <c r="D105" s="42">
        <v>492.1</v>
      </c>
      <c r="E105" s="42">
        <v>880.4</v>
      </c>
      <c r="F105" s="42">
        <v>946.8</v>
      </c>
      <c r="G105" s="42">
        <v>383.4</v>
      </c>
      <c r="H105" s="64"/>
      <c r="I105" s="64"/>
      <c r="J105" s="109">
        <v>64.900000000000006</v>
      </c>
      <c r="K105" s="42">
        <v>3262.6</v>
      </c>
      <c r="L105" s="123">
        <f t="shared" si="15"/>
        <v>7666.9</v>
      </c>
      <c r="M105" s="42">
        <v>63.6</v>
      </c>
      <c r="N105" s="39">
        <f t="shared" si="16"/>
        <v>2210.6</v>
      </c>
      <c r="O105" s="125">
        <v>64.900000000000006</v>
      </c>
      <c r="P105" s="92">
        <f t="shared" si="17"/>
        <v>2275.5</v>
      </c>
      <c r="Q105" s="39">
        <f t="shared" si="13"/>
        <v>15.711</v>
      </c>
      <c r="R105" s="144">
        <f t="shared" si="14"/>
        <v>4.6629098360655741</v>
      </c>
      <c r="S105" s="128">
        <f t="shared" si="18"/>
        <v>0.76322564974495988</v>
      </c>
      <c r="T105" s="145">
        <f t="shared" si="19"/>
        <v>7730.5</v>
      </c>
    </row>
    <row r="106" spans="1:72" s="107" customFormat="1" ht="18.75">
      <c r="A106" s="120">
        <v>16</v>
      </c>
      <c r="B106" s="106">
        <v>327</v>
      </c>
      <c r="C106" s="42">
        <v>1197.2</v>
      </c>
      <c r="D106" s="42">
        <v>359.9</v>
      </c>
      <c r="E106" s="42">
        <v>501.8</v>
      </c>
      <c r="F106" s="42">
        <v>580.29999999999995</v>
      </c>
      <c r="G106" s="42">
        <v>127.10000000000001</v>
      </c>
      <c r="H106" s="66"/>
      <c r="I106" s="66"/>
      <c r="J106" s="98">
        <v>52.2</v>
      </c>
      <c r="K106" s="44">
        <v>2376.9</v>
      </c>
      <c r="L106" s="123">
        <f t="shared" si="15"/>
        <v>5195.3999999999996</v>
      </c>
      <c r="M106" s="42">
        <v>46.4</v>
      </c>
      <c r="N106" s="39">
        <f t="shared" si="16"/>
        <v>1209.1999999999998</v>
      </c>
      <c r="O106" s="100">
        <v>52.2</v>
      </c>
      <c r="P106" s="92">
        <f t="shared" si="17"/>
        <v>1261.3999999999999</v>
      </c>
      <c r="Q106" s="39">
        <f t="shared" si="13"/>
        <v>15.888</v>
      </c>
      <c r="R106" s="144">
        <f t="shared" si="14"/>
        <v>3.8574923547400606</v>
      </c>
      <c r="S106" s="128">
        <f t="shared" si="18"/>
        <v>0.77182414379402475</v>
      </c>
      <c r="T106" s="145">
        <f t="shared" si="19"/>
        <v>5241.7999999999993</v>
      </c>
      <c r="U106" s="80"/>
      <c r="V106" s="80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7"/>
      <c r="BR106" s="87"/>
      <c r="BS106" s="87"/>
      <c r="BT106" s="87"/>
    </row>
    <row r="107" spans="1:72" ht="18.75">
      <c r="A107" s="7" t="s">
        <v>132</v>
      </c>
      <c r="B107" s="89">
        <v>365</v>
      </c>
      <c r="C107" s="42">
        <v>1341</v>
      </c>
      <c r="D107" s="42">
        <v>403.2</v>
      </c>
      <c r="E107" s="42">
        <v>489.2</v>
      </c>
      <c r="F107" s="42">
        <v>481.2</v>
      </c>
      <c r="G107" s="42">
        <v>246.1</v>
      </c>
      <c r="H107" s="64"/>
      <c r="I107" s="64"/>
      <c r="J107" s="109">
        <v>58.7</v>
      </c>
      <c r="K107" s="42">
        <v>2545.3000000000002</v>
      </c>
      <c r="L107" s="123">
        <f t="shared" si="15"/>
        <v>5564.7</v>
      </c>
      <c r="M107" s="42">
        <v>42.1</v>
      </c>
      <c r="N107" s="39">
        <f t="shared" si="16"/>
        <v>1216.5</v>
      </c>
      <c r="O107" s="125">
        <v>58.7</v>
      </c>
      <c r="P107" s="92">
        <f t="shared" si="17"/>
        <v>1275.2</v>
      </c>
      <c r="Q107" s="39">
        <f t="shared" si="13"/>
        <v>15.246</v>
      </c>
      <c r="R107" s="144">
        <f t="shared" si="14"/>
        <v>3.4936986301369863</v>
      </c>
      <c r="S107" s="128">
        <f t="shared" si="18"/>
        <v>0.74063638571775559</v>
      </c>
      <c r="T107" s="145">
        <f t="shared" si="19"/>
        <v>5606.8</v>
      </c>
    </row>
    <row r="108" spans="1:72" ht="18.75">
      <c r="A108" s="7" t="s">
        <v>133</v>
      </c>
      <c r="B108" s="89">
        <v>393</v>
      </c>
      <c r="C108" s="42">
        <v>1317</v>
      </c>
      <c r="D108" s="42">
        <v>396</v>
      </c>
      <c r="E108" s="42">
        <v>579.29999999999995</v>
      </c>
      <c r="F108" s="42">
        <v>608.79999999999995</v>
      </c>
      <c r="G108" s="42">
        <v>195.60000000000002</v>
      </c>
      <c r="H108" s="64"/>
      <c r="I108" s="64"/>
      <c r="J108" s="109">
        <v>58.7</v>
      </c>
      <c r="K108" s="42">
        <v>2536.9</v>
      </c>
      <c r="L108" s="123">
        <f t="shared" si="15"/>
        <v>5692.3</v>
      </c>
      <c r="M108" s="42">
        <v>51.3</v>
      </c>
      <c r="N108" s="39">
        <f t="shared" si="16"/>
        <v>1383.6999999999998</v>
      </c>
      <c r="O108" s="125">
        <v>58.7</v>
      </c>
      <c r="P108" s="92">
        <f t="shared" si="17"/>
        <v>1442.3999999999999</v>
      </c>
      <c r="Q108" s="39">
        <f t="shared" si="13"/>
        <v>14.484</v>
      </c>
      <c r="R108" s="144">
        <f t="shared" si="14"/>
        <v>3.6702290076335875</v>
      </c>
      <c r="S108" s="128">
        <f t="shared" si="18"/>
        <v>0.70361914015059501</v>
      </c>
      <c r="T108" s="145">
        <f t="shared" si="19"/>
        <v>5743.6</v>
      </c>
    </row>
    <row r="109" spans="1:72" s="107" customFormat="1" ht="18.75">
      <c r="A109" s="120">
        <v>84</v>
      </c>
      <c r="B109" s="106">
        <v>100</v>
      </c>
      <c r="C109" s="42">
        <v>853.4</v>
      </c>
      <c r="D109" s="42">
        <v>256.60000000000002</v>
      </c>
      <c r="E109" s="42">
        <v>401.1</v>
      </c>
      <c r="F109" s="42">
        <v>119.3</v>
      </c>
      <c r="G109" s="42">
        <v>83.7</v>
      </c>
      <c r="H109" s="66"/>
      <c r="I109" s="66"/>
      <c r="J109" s="98">
        <v>45.4</v>
      </c>
      <c r="K109" s="44">
        <v>912.8</v>
      </c>
      <c r="L109" s="123">
        <f t="shared" si="15"/>
        <v>2672.3</v>
      </c>
      <c r="M109" s="42">
        <v>25.5</v>
      </c>
      <c r="N109" s="39">
        <f t="shared" si="16"/>
        <v>604.1</v>
      </c>
      <c r="O109" s="100">
        <v>45.4</v>
      </c>
      <c r="P109" s="92">
        <f t="shared" si="17"/>
        <v>649.5</v>
      </c>
      <c r="Q109" s="39">
        <f t="shared" si="13"/>
        <v>26.722999999999999</v>
      </c>
      <c r="R109" s="144">
        <f t="shared" si="14"/>
        <v>6.4950000000000001</v>
      </c>
      <c r="S109" s="128">
        <f t="shared" si="18"/>
        <v>1.2981782851590964</v>
      </c>
      <c r="T109" s="145">
        <f t="shared" si="19"/>
        <v>2697.8</v>
      </c>
      <c r="U109" s="80"/>
      <c r="V109" s="80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</row>
    <row r="110" spans="1:72" s="107" customFormat="1" ht="18.75">
      <c r="A110" s="120">
        <v>94</v>
      </c>
      <c r="B110" s="106">
        <v>381</v>
      </c>
      <c r="C110" s="42">
        <v>1580.7</v>
      </c>
      <c r="D110" s="42">
        <v>475.2</v>
      </c>
      <c r="E110" s="42">
        <v>682.6</v>
      </c>
      <c r="F110" s="42">
        <v>833.19999999999993</v>
      </c>
      <c r="G110" s="42">
        <v>334.2</v>
      </c>
      <c r="H110" s="66"/>
      <c r="I110" s="66"/>
      <c r="J110" s="98">
        <v>58.7</v>
      </c>
      <c r="K110" s="44">
        <v>2608.8000000000002</v>
      </c>
      <c r="L110" s="123">
        <f t="shared" si="15"/>
        <v>6573.4</v>
      </c>
      <c r="M110" s="42">
        <v>70</v>
      </c>
      <c r="N110" s="39">
        <f t="shared" si="16"/>
        <v>1850</v>
      </c>
      <c r="O110" s="100">
        <v>58.7</v>
      </c>
      <c r="P110" s="92">
        <f t="shared" si="17"/>
        <v>1908.7</v>
      </c>
      <c r="Q110" s="39">
        <f t="shared" si="13"/>
        <v>17.253</v>
      </c>
      <c r="R110" s="144">
        <f t="shared" si="14"/>
        <v>5.0097112860892388</v>
      </c>
      <c r="S110" s="128">
        <f t="shared" si="18"/>
        <v>0.83813456400291475</v>
      </c>
      <c r="T110" s="145">
        <f t="shared" si="19"/>
        <v>6643.4</v>
      </c>
      <c r="U110" s="80"/>
      <c r="V110" s="80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</row>
    <row r="111" spans="1:72" s="107" customFormat="1" ht="18.75">
      <c r="A111" s="120">
        <v>101</v>
      </c>
      <c r="B111" s="106">
        <v>230</v>
      </c>
      <c r="C111" s="42">
        <v>1738.9</v>
      </c>
      <c r="D111" s="42">
        <v>522.79999999999995</v>
      </c>
      <c r="E111" s="42">
        <v>700.6</v>
      </c>
      <c r="F111" s="42">
        <v>425.5</v>
      </c>
      <c r="G111" s="42">
        <v>184.8</v>
      </c>
      <c r="H111" s="66"/>
      <c r="I111" s="66"/>
      <c r="J111" s="98">
        <v>61.6</v>
      </c>
      <c r="K111" s="44">
        <v>2357.4</v>
      </c>
      <c r="L111" s="123">
        <f t="shared" si="15"/>
        <v>5991.6</v>
      </c>
      <c r="M111" s="42">
        <v>27.7</v>
      </c>
      <c r="N111" s="39">
        <f t="shared" si="16"/>
        <v>1310.8999999999999</v>
      </c>
      <c r="O111" s="100">
        <v>61.6</v>
      </c>
      <c r="P111" s="92">
        <f t="shared" si="17"/>
        <v>1372.4999999999998</v>
      </c>
      <c r="Q111" s="39">
        <f t="shared" si="13"/>
        <v>26.05</v>
      </c>
      <c r="R111" s="144">
        <f t="shared" si="14"/>
        <v>5.9673913043478253</v>
      </c>
      <c r="S111" s="128">
        <f t="shared" si="18"/>
        <v>1.2654845761476803</v>
      </c>
      <c r="T111" s="145">
        <f t="shared" si="19"/>
        <v>6019.3</v>
      </c>
      <c r="U111" s="80"/>
      <c r="V111" s="80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</row>
    <row r="112" spans="1:72" ht="18.75">
      <c r="A112" s="7" t="s">
        <v>134</v>
      </c>
      <c r="B112" s="89">
        <v>192</v>
      </c>
      <c r="C112" s="42">
        <v>973.4</v>
      </c>
      <c r="D112" s="42">
        <v>292.60000000000002</v>
      </c>
      <c r="E112" s="42">
        <v>439.3</v>
      </c>
      <c r="F112" s="42">
        <v>231.9</v>
      </c>
      <c r="G112" s="42">
        <v>101.2</v>
      </c>
      <c r="H112" s="64"/>
      <c r="I112" s="64"/>
      <c r="J112" s="109">
        <v>45.4</v>
      </c>
      <c r="K112" s="42">
        <v>1459.3</v>
      </c>
      <c r="L112" s="123">
        <f t="shared" si="15"/>
        <v>3543.1</v>
      </c>
      <c r="M112" s="42">
        <v>27.2</v>
      </c>
      <c r="N112" s="39">
        <f t="shared" si="16"/>
        <v>772.40000000000009</v>
      </c>
      <c r="O112" s="125">
        <v>45.4</v>
      </c>
      <c r="P112" s="92">
        <f t="shared" si="17"/>
        <v>817.80000000000007</v>
      </c>
      <c r="Q112" s="39">
        <f t="shared" si="13"/>
        <v>18.454000000000001</v>
      </c>
      <c r="R112" s="144">
        <f t="shared" si="14"/>
        <v>4.2593750000000004</v>
      </c>
      <c r="S112" s="128">
        <f t="shared" si="18"/>
        <v>0.89647801797425308</v>
      </c>
      <c r="T112" s="145">
        <f t="shared" si="19"/>
        <v>3570.2999999999997</v>
      </c>
    </row>
    <row r="113" spans="1:72" ht="18.75">
      <c r="A113" s="7" t="s">
        <v>135</v>
      </c>
      <c r="B113" s="89">
        <v>159</v>
      </c>
      <c r="C113" s="42">
        <v>885.4</v>
      </c>
      <c r="D113" s="42">
        <v>266.2</v>
      </c>
      <c r="E113" s="42">
        <v>422.5</v>
      </c>
      <c r="F113" s="42">
        <v>133.80000000000001</v>
      </c>
      <c r="G113" s="42">
        <v>75.400000000000006</v>
      </c>
      <c r="H113" s="64"/>
      <c r="I113" s="64"/>
      <c r="J113" s="109">
        <v>44.2</v>
      </c>
      <c r="K113" s="42">
        <v>1187.7</v>
      </c>
      <c r="L113" s="123">
        <f t="shared" si="15"/>
        <v>3015.2</v>
      </c>
      <c r="M113" s="42">
        <v>20.7</v>
      </c>
      <c r="N113" s="39">
        <f t="shared" si="16"/>
        <v>631.69999999999993</v>
      </c>
      <c r="O113" s="125">
        <v>44.2</v>
      </c>
      <c r="P113" s="92">
        <f t="shared" si="17"/>
        <v>675.9</v>
      </c>
      <c r="Q113" s="39">
        <f t="shared" ref="Q113:Q146" si="20">ROUND(L113/B113,3)</f>
        <v>18.963999999999999</v>
      </c>
      <c r="R113" s="144">
        <f t="shared" si="14"/>
        <v>4.2509433962264147</v>
      </c>
      <c r="S113" s="128">
        <f t="shared" si="18"/>
        <v>0.92125333981054158</v>
      </c>
      <c r="T113" s="145">
        <f t="shared" si="19"/>
        <v>3035.8999999999996</v>
      </c>
    </row>
    <row r="114" spans="1:72" s="107" customFormat="1" ht="18.75">
      <c r="A114" s="120">
        <v>148</v>
      </c>
      <c r="B114" s="106">
        <v>198</v>
      </c>
      <c r="C114" s="42">
        <v>1523.2</v>
      </c>
      <c r="D114" s="42">
        <v>457.9</v>
      </c>
      <c r="E114" s="42">
        <v>622.5</v>
      </c>
      <c r="F114" s="42">
        <v>271.60000000000002</v>
      </c>
      <c r="G114" s="42">
        <v>119</v>
      </c>
      <c r="H114" s="66"/>
      <c r="I114" s="66"/>
      <c r="J114" s="98">
        <v>64</v>
      </c>
      <c r="K114" s="44">
        <v>1476.9</v>
      </c>
      <c r="L114" s="123">
        <f t="shared" si="15"/>
        <v>4535.1000000000004</v>
      </c>
      <c r="M114" s="42">
        <v>48.5</v>
      </c>
      <c r="N114" s="39">
        <f t="shared" si="16"/>
        <v>1013.1</v>
      </c>
      <c r="O114" s="100">
        <v>64</v>
      </c>
      <c r="P114" s="92">
        <f t="shared" si="17"/>
        <v>1077.0999999999999</v>
      </c>
      <c r="Q114" s="39">
        <f t="shared" si="20"/>
        <v>22.905000000000001</v>
      </c>
      <c r="R114" s="144">
        <f t="shared" si="14"/>
        <v>5.4398989898989898</v>
      </c>
      <c r="S114" s="128">
        <f t="shared" si="18"/>
        <v>1.1127034248239009</v>
      </c>
      <c r="T114" s="145">
        <f t="shared" si="19"/>
        <v>4583.6000000000004</v>
      </c>
      <c r="U114" s="80"/>
      <c r="V114" s="80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</row>
    <row r="115" spans="1:72" ht="18.75">
      <c r="A115" s="7" t="s">
        <v>136</v>
      </c>
      <c r="B115" s="89">
        <v>325</v>
      </c>
      <c r="C115" s="42">
        <v>1285</v>
      </c>
      <c r="D115" s="42">
        <v>386.3</v>
      </c>
      <c r="E115" s="42">
        <v>403</v>
      </c>
      <c r="F115" s="42">
        <v>371.4</v>
      </c>
      <c r="G115" s="42">
        <v>112.3</v>
      </c>
      <c r="H115" s="64"/>
      <c r="I115" s="64"/>
      <c r="J115" s="109">
        <v>52.2</v>
      </c>
      <c r="K115" s="42">
        <v>2013.1</v>
      </c>
      <c r="L115" s="123">
        <f t="shared" si="15"/>
        <v>4623.3</v>
      </c>
      <c r="M115" s="42">
        <v>46.3</v>
      </c>
      <c r="N115" s="39">
        <f t="shared" si="16"/>
        <v>886.69999999999993</v>
      </c>
      <c r="O115" s="125">
        <v>52.2</v>
      </c>
      <c r="P115" s="92">
        <f t="shared" si="17"/>
        <v>938.9</v>
      </c>
      <c r="Q115" s="39">
        <f t="shared" si="20"/>
        <v>14.226000000000001</v>
      </c>
      <c r="R115" s="144">
        <f t="shared" si="14"/>
        <v>2.8889230769230769</v>
      </c>
      <c r="S115" s="128">
        <f t="shared" si="18"/>
        <v>0.69108574204517859</v>
      </c>
      <c r="T115" s="145">
        <f t="shared" si="19"/>
        <v>4669.6000000000004</v>
      </c>
    </row>
    <row r="116" spans="1:72" ht="18.75">
      <c r="A116" s="7" t="s">
        <v>137</v>
      </c>
      <c r="B116" s="89">
        <v>353</v>
      </c>
      <c r="C116" s="42">
        <v>1364.9</v>
      </c>
      <c r="D116" s="42">
        <v>410.4</v>
      </c>
      <c r="E116" s="42">
        <v>541.70000000000005</v>
      </c>
      <c r="F116" s="42">
        <v>573.79999999999995</v>
      </c>
      <c r="G116" s="42">
        <v>233.4</v>
      </c>
      <c r="H116" s="64"/>
      <c r="I116" s="64"/>
      <c r="J116" s="109">
        <v>58.7</v>
      </c>
      <c r="K116" s="42">
        <v>2322.5</v>
      </c>
      <c r="L116" s="123">
        <f t="shared" si="15"/>
        <v>5505.4</v>
      </c>
      <c r="M116" s="42">
        <v>163.19999999999999</v>
      </c>
      <c r="N116" s="39">
        <f t="shared" si="16"/>
        <v>1348.9</v>
      </c>
      <c r="O116" s="125">
        <v>58.7</v>
      </c>
      <c r="P116" s="92">
        <f t="shared" si="17"/>
        <v>1407.6000000000001</v>
      </c>
      <c r="Q116" s="39">
        <f t="shared" si="20"/>
        <v>15.596</v>
      </c>
      <c r="R116" s="144">
        <f t="shared" si="14"/>
        <v>3.9875354107648731</v>
      </c>
      <c r="S116" s="128">
        <f t="shared" si="18"/>
        <v>0.75763905756618899</v>
      </c>
      <c r="T116" s="145">
        <f t="shared" si="19"/>
        <v>5668.5999999999995</v>
      </c>
    </row>
    <row r="117" spans="1:72" ht="18.75">
      <c r="A117" s="7" t="s">
        <v>138</v>
      </c>
      <c r="B117" s="89">
        <v>146</v>
      </c>
      <c r="C117" s="42">
        <v>885.4</v>
      </c>
      <c r="D117" s="42">
        <v>266.2</v>
      </c>
      <c r="E117" s="42">
        <v>286</v>
      </c>
      <c r="F117" s="42">
        <v>289.5</v>
      </c>
      <c r="G117" s="42">
        <v>65</v>
      </c>
      <c r="H117" s="64"/>
      <c r="I117" s="64"/>
      <c r="J117" s="109">
        <v>44.2</v>
      </c>
      <c r="K117" s="42">
        <v>1031.3</v>
      </c>
      <c r="L117" s="123">
        <f t="shared" si="15"/>
        <v>2867.6</v>
      </c>
      <c r="M117" s="42">
        <v>23.3</v>
      </c>
      <c r="N117" s="39">
        <f t="shared" si="16"/>
        <v>640.5</v>
      </c>
      <c r="O117" s="125">
        <v>44.2</v>
      </c>
      <c r="P117" s="92">
        <f t="shared" si="17"/>
        <v>684.7</v>
      </c>
      <c r="Q117" s="39">
        <f t="shared" si="20"/>
        <v>19.640999999999998</v>
      </c>
      <c r="R117" s="144">
        <f t="shared" si="14"/>
        <v>4.6897260273972607</v>
      </c>
      <c r="S117" s="128">
        <f t="shared" si="18"/>
        <v>0.95414136507165404</v>
      </c>
      <c r="T117" s="145">
        <f t="shared" si="19"/>
        <v>2890.9</v>
      </c>
    </row>
    <row r="118" spans="1:72" ht="18.75">
      <c r="A118" s="7" t="s">
        <v>139</v>
      </c>
      <c r="B118" s="89">
        <v>399</v>
      </c>
      <c r="C118" s="42">
        <v>1388.9</v>
      </c>
      <c r="D118" s="42">
        <v>417.6</v>
      </c>
      <c r="E118" s="42">
        <v>585.1</v>
      </c>
      <c r="F118" s="42">
        <v>651.9</v>
      </c>
      <c r="G118" s="42">
        <v>195.2</v>
      </c>
      <c r="H118" s="64"/>
      <c r="I118" s="64"/>
      <c r="J118" s="109">
        <v>58.7</v>
      </c>
      <c r="K118" s="42">
        <v>2509</v>
      </c>
      <c r="L118" s="123">
        <f t="shared" si="15"/>
        <v>5806.4</v>
      </c>
      <c r="M118" s="42">
        <v>36.299999999999997</v>
      </c>
      <c r="N118" s="39">
        <f t="shared" si="16"/>
        <v>1432.2</v>
      </c>
      <c r="O118" s="125">
        <v>58.7</v>
      </c>
      <c r="P118" s="92">
        <f t="shared" si="17"/>
        <v>1490.9</v>
      </c>
      <c r="Q118" s="39">
        <f t="shared" si="20"/>
        <v>14.552</v>
      </c>
      <c r="R118" s="144">
        <f t="shared" ref="R118:R147" si="21">P118/B118</f>
        <v>3.736591478696742</v>
      </c>
      <c r="S118" s="128">
        <f t="shared" si="18"/>
        <v>0.70692251639543346</v>
      </c>
      <c r="T118" s="145">
        <f t="shared" si="19"/>
        <v>5842.7</v>
      </c>
    </row>
    <row r="119" spans="1:72" ht="18.75">
      <c r="A119" s="7" t="s">
        <v>140</v>
      </c>
      <c r="B119" s="89">
        <v>224</v>
      </c>
      <c r="C119" s="42">
        <v>1101.3</v>
      </c>
      <c r="D119" s="42">
        <v>331.1</v>
      </c>
      <c r="E119" s="42">
        <v>331.5</v>
      </c>
      <c r="F119" s="42">
        <v>340.8</v>
      </c>
      <c r="G119" s="42">
        <v>81.199999999999989</v>
      </c>
      <c r="H119" s="64"/>
      <c r="I119" s="64"/>
      <c r="J119" s="109">
        <v>45.4</v>
      </c>
      <c r="K119" s="42">
        <v>1540.6</v>
      </c>
      <c r="L119" s="123">
        <f t="shared" si="15"/>
        <v>3771.9</v>
      </c>
      <c r="M119" s="42">
        <v>26.7</v>
      </c>
      <c r="N119" s="39">
        <f t="shared" si="16"/>
        <v>753.5</v>
      </c>
      <c r="O119" s="125">
        <v>45.4</v>
      </c>
      <c r="P119" s="92">
        <f t="shared" si="17"/>
        <v>798.9</v>
      </c>
      <c r="Q119" s="39">
        <f t="shared" si="20"/>
        <v>16.838999999999999</v>
      </c>
      <c r="R119" s="144">
        <f t="shared" si="21"/>
        <v>3.5665178571428569</v>
      </c>
      <c r="S119" s="128">
        <f t="shared" si="18"/>
        <v>0.81802283215933924</v>
      </c>
      <c r="T119" s="145">
        <f t="shared" si="19"/>
        <v>3798.6</v>
      </c>
    </row>
    <row r="120" spans="1:72" ht="18.75">
      <c r="A120" s="7" t="s">
        <v>141</v>
      </c>
      <c r="B120" s="89">
        <v>374</v>
      </c>
      <c r="C120" s="42">
        <v>1388.9</v>
      </c>
      <c r="D120" s="42">
        <v>417.6</v>
      </c>
      <c r="E120" s="42">
        <v>513.6</v>
      </c>
      <c r="F120" s="42">
        <v>611.29999999999995</v>
      </c>
      <c r="G120" s="42">
        <v>170.7</v>
      </c>
      <c r="H120" s="64"/>
      <c r="I120" s="64"/>
      <c r="J120" s="109">
        <v>58.7</v>
      </c>
      <c r="K120" s="42">
        <v>2440.1</v>
      </c>
      <c r="L120" s="123">
        <f t="shared" si="15"/>
        <v>5600.9</v>
      </c>
      <c r="M120" s="42">
        <v>42.8</v>
      </c>
      <c r="N120" s="39">
        <f t="shared" si="16"/>
        <v>1295.6000000000001</v>
      </c>
      <c r="O120" s="125">
        <v>58.7</v>
      </c>
      <c r="P120" s="92">
        <f t="shared" si="17"/>
        <v>1354.3000000000002</v>
      </c>
      <c r="Q120" s="39">
        <f t="shared" si="20"/>
        <v>14.976000000000001</v>
      </c>
      <c r="R120" s="144">
        <f t="shared" si="21"/>
        <v>3.6211229946524068</v>
      </c>
      <c r="S120" s="128">
        <f t="shared" si="18"/>
        <v>0.7275200388632499</v>
      </c>
      <c r="T120" s="145">
        <f t="shared" si="19"/>
        <v>5643.7</v>
      </c>
    </row>
    <row r="121" spans="1:72" ht="18.75">
      <c r="A121" s="7" t="s">
        <v>142</v>
      </c>
      <c r="B121" s="89">
        <v>177</v>
      </c>
      <c r="C121" s="42">
        <v>899.2</v>
      </c>
      <c r="D121" s="42">
        <v>270.3</v>
      </c>
      <c r="E121" s="42">
        <v>475.6</v>
      </c>
      <c r="F121" s="42">
        <v>616.1</v>
      </c>
      <c r="G121" s="42">
        <v>100.60000000000001</v>
      </c>
      <c r="H121" s="64"/>
      <c r="I121" s="64"/>
      <c r="J121" s="109">
        <v>44.2</v>
      </c>
      <c r="K121" s="42">
        <v>1259.2</v>
      </c>
      <c r="L121" s="123">
        <f t="shared" si="15"/>
        <v>3665.2</v>
      </c>
      <c r="M121" s="42">
        <v>60.6</v>
      </c>
      <c r="N121" s="39">
        <f t="shared" si="16"/>
        <v>1192.3</v>
      </c>
      <c r="O121" s="125">
        <v>44.2</v>
      </c>
      <c r="P121" s="92">
        <f t="shared" si="17"/>
        <v>1236.5</v>
      </c>
      <c r="Q121" s="39">
        <f t="shared" si="20"/>
        <v>20.707000000000001</v>
      </c>
      <c r="R121" s="144">
        <f t="shared" si="21"/>
        <v>6.9858757062146895</v>
      </c>
      <c r="S121" s="128">
        <f t="shared" si="18"/>
        <v>1.0059266456157396</v>
      </c>
      <c r="T121" s="145">
        <f t="shared" si="19"/>
        <v>3725.7999999999997</v>
      </c>
    </row>
    <row r="122" spans="1:72" ht="18.75">
      <c r="A122" s="7" t="s">
        <v>143</v>
      </c>
      <c r="B122" s="89">
        <v>390</v>
      </c>
      <c r="C122" s="42">
        <v>1532.8</v>
      </c>
      <c r="D122" s="42">
        <v>460.8</v>
      </c>
      <c r="E122" s="42">
        <v>774.6</v>
      </c>
      <c r="F122" s="42">
        <v>595.9</v>
      </c>
      <c r="G122" s="42">
        <v>197.2</v>
      </c>
      <c r="H122" s="64"/>
      <c r="I122" s="64"/>
      <c r="J122" s="109">
        <v>58.7</v>
      </c>
      <c r="K122" s="42">
        <v>2736.8</v>
      </c>
      <c r="L122" s="123">
        <f t="shared" si="15"/>
        <v>6356.8</v>
      </c>
      <c r="M122" s="42">
        <v>39.799999999999997</v>
      </c>
      <c r="N122" s="39">
        <f t="shared" si="16"/>
        <v>1567.7</v>
      </c>
      <c r="O122" s="125">
        <v>58.7</v>
      </c>
      <c r="P122" s="92">
        <f t="shared" si="17"/>
        <v>1626.4</v>
      </c>
      <c r="Q122" s="39">
        <f t="shared" si="20"/>
        <v>16.298999999999999</v>
      </c>
      <c r="R122" s="144">
        <f t="shared" si="21"/>
        <v>4.1702564102564104</v>
      </c>
      <c r="S122" s="128">
        <f t="shared" si="18"/>
        <v>0.79179013845032786</v>
      </c>
      <c r="T122" s="145">
        <f t="shared" si="19"/>
        <v>6396.6</v>
      </c>
    </row>
    <row r="123" spans="1:72" ht="18.75">
      <c r="A123" s="7" t="s">
        <v>144</v>
      </c>
      <c r="B123" s="89">
        <v>312</v>
      </c>
      <c r="C123" s="42">
        <v>1707</v>
      </c>
      <c r="D123" s="42">
        <v>513.20000000000005</v>
      </c>
      <c r="E123" s="42">
        <v>1097.9000000000001</v>
      </c>
      <c r="F123" s="42">
        <v>311.39999999999998</v>
      </c>
      <c r="G123" s="42">
        <v>152.4</v>
      </c>
      <c r="H123" s="64"/>
      <c r="I123" s="64"/>
      <c r="J123" s="109">
        <v>64</v>
      </c>
      <c r="K123" s="42">
        <v>2145.6999999999998</v>
      </c>
      <c r="L123" s="123">
        <f t="shared" si="15"/>
        <v>5991.6</v>
      </c>
      <c r="M123" s="42">
        <v>57.1</v>
      </c>
      <c r="N123" s="39">
        <f t="shared" si="16"/>
        <v>1561.7000000000003</v>
      </c>
      <c r="O123" s="125">
        <v>64</v>
      </c>
      <c r="P123" s="92">
        <f t="shared" si="17"/>
        <v>1625.7000000000003</v>
      </c>
      <c r="Q123" s="39">
        <f t="shared" si="20"/>
        <v>19.204000000000001</v>
      </c>
      <c r="R123" s="144">
        <f t="shared" si="21"/>
        <v>5.2105769230769239</v>
      </c>
      <c r="S123" s="128">
        <f t="shared" si="18"/>
        <v>0.9329123147923245</v>
      </c>
      <c r="T123" s="145">
        <f t="shared" si="19"/>
        <v>6048.7000000000007</v>
      </c>
    </row>
    <row r="124" spans="1:72" s="107" customFormat="1" ht="18.75">
      <c r="A124" s="120">
        <v>194</v>
      </c>
      <c r="B124" s="106">
        <v>136</v>
      </c>
      <c r="C124" s="42">
        <v>821.6</v>
      </c>
      <c r="D124" s="42">
        <v>247</v>
      </c>
      <c r="E124" s="42">
        <v>461.6</v>
      </c>
      <c r="F124" s="42">
        <v>178.9</v>
      </c>
      <c r="G124" s="42">
        <v>89.4</v>
      </c>
      <c r="H124" s="66"/>
      <c r="I124" s="66"/>
      <c r="J124" s="98">
        <v>44.2</v>
      </c>
      <c r="K124" s="44">
        <v>1382.4</v>
      </c>
      <c r="L124" s="123">
        <f t="shared" si="15"/>
        <v>3225.1</v>
      </c>
      <c r="M124" s="42">
        <v>18.5</v>
      </c>
      <c r="N124" s="39">
        <f t="shared" si="16"/>
        <v>729.9</v>
      </c>
      <c r="O124" s="100">
        <v>44.2</v>
      </c>
      <c r="P124" s="92">
        <f t="shared" si="17"/>
        <v>774.1</v>
      </c>
      <c r="Q124" s="39">
        <f t="shared" si="20"/>
        <v>23.713999999999999</v>
      </c>
      <c r="R124" s="144">
        <f t="shared" si="21"/>
        <v>5.6919117647058828</v>
      </c>
      <c r="S124" s="128">
        <f t="shared" si="18"/>
        <v>1.1520038863249937</v>
      </c>
      <c r="T124" s="145">
        <f t="shared" si="19"/>
        <v>3243.6</v>
      </c>
      <c r="U124" s="80"/>
      <c r="V124" s="80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7"/>
      <c r="BQ124" s="87"/>
      <c r="BR124" s="87"/>
      <c r="BS124" s="87"/>
      <c r="BT124" s="87"/>
    </row>
    <row r="125" spans="1:72" ht="18.75">
      <c r="A125" s="7" t="s">
        <v>145</v>
      </c>
      <c r="B125" s="89">
        <v>380</v>
      </c>
      <c r="C125" s="42">
        <v>1580.7</v>
      </c>
      <c r="D125" s="42">
        <v>475.2</v>
      </c>
      <c r="E125" s="42">
        <v>630.6</v>
      </c>
      <c r="F125" s="42">
        <v>634.4</v>
      </c>
      <c r="G125" s="42">
        <v>240.39999999999998</v>
      </c>
      <c r="H125" s="64"/>
      <c r="I125" s="64"/>
      <c r="J125" s="109">
        <v>58.7</v>
      </c>
      <c r="K125" s="42">
        <v>2595.4</v>
      </c>
      <c r="L125" s="123">
        <f t="shared" si="15"/>
        <v>6215.4</v>
      </c>
      <c r="M125" s="42">
        <v>39.799999999999997</v>
      </c>
      <c r="N125" s="39">
        <f t="shared" si="16"/>
        <v>1505.4</v>
      </c>
      <c r="O125" s="125">
        <v>58.7</v>
      </c>
      <c r="P125" s="92">
        <f t="shared" si="17"/>
        <v>1564.1000000000001</v>
      </c>
      <c r="Q125" s="39">
        <f t="shared" si="20"/>
        <v>16.356000000000002</v>
      </c>
      <c r="R125" s="144">
        <f t="shared" si="21"/>
        <v>4.1160526315789481</v>
      </c>
      <c r="S125" s="128">
        <f t="shared" si="18"/>
        <v>0.79455914500850133</v>
      </c>
      <c r="T125" s="145">
        <f t="shared" si="19"/>
        <v>6255.2</v>
      </c>
    </row>
    <row r="126" spans="1:72" s="107" customFormat="1" ht="18.75">
      <c r="A126" s="120">
        <v>209</v>
      </c>
      <c r="B126" s="106">
        <v>317</v>
      </c>
      <c r="C126" s="42">
        <v>1580.7</v>
      </c>
      <c r="D126" s="42">
        <v>475.2</v>
      </c>
      <c r="E126" s="42">
        <v>807.2</v>
      </c>
      <c r="F126" s="42">
        <v>787.59999999999991</v>
      </c>
      <c r="G126" s="42">
        <v>241.5</v>
      </c>
      <c r="H126" s="66"/>
      <c r="I126" s="66"/>
      <c r="J126" s="98">
        <v>58.7</v>
      </c>
      <c r="K126" s="44">
        <v>2504.6999999999998</v>
      </c>
      <c r="L126" s="123">
        <f t="shared" si="15"/>
        <v>6455.6</v>
      </c>
      <c r="M126" s="42">
        <v>46.5</v>
      </c>
      <c r="N126" s="39">
        <f t="shared" si="16"/>
        <v>1836.3</v>
      </c>
      <c r="O126" s="100">
        <v>58.7</v>
      </c>
      <c r="P126" s="92">
        <f t="shared" si="17"/>
        <v>1895</v>
      </c>
      <c r="Q126" s="39">
        <f t="shared" si="20"/>
        <v>20.364999999999998</v>
      </c>
      <c r="R126" s="144">
        <f t="shared" si="21"/>
        <v>5.9779179810725553</v>
      </c>
      <c r="S126" s="128">
        <f t="shared" si="18"/>
        <v>0.98931260626669892</v>
      </c>
      <c r="T126" s="145">
        <f t="shared" si="19"/>
        <v>6502.1</v>
      </c>
      <c r="U126" s="80"/>
      <c r="V126" s="80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7"/>
      <c r="BR126" s="87"/>
      <c r="BS126" s="87"/>
      <c r="BT126" s="87"/>
    </row>
    <row r="127" spans="1:72" s="107" customFormat="1" ht="18.75">
      <c r="A127" s="120">
        <v>210</v>
      </c>
      <c r="B127" s="106">
        <v>159</v>
      </c>
      <c r="C127" s="42">
        <v>1077.2</v>
      </c>
      <c r="D127" s="42">
        <v>323.89999999999998</v>
      </c>
      <c r="E127" s="42">
        <v>533.20000000000005</v>
      </c>
      <c r="F127" s="42">
        <v>455</v>
      </c>
      <c r="G127" s="42">
        <v>98.5</v>
      </c>
      <c r="H127" s="66"/>
      <c r="I127" s="66"/>
      <c r="J127" s="98">
        <v>45.4</v>
      </c>
      <c r="K127" s="44">
        <v>1232</v>
      </c>
      <c r="L127" s="123">
        <f t="shared" si="15"/>
        <v>3765.2</v>
      </c>
      <c r="M127" s="42">
        <v>43.4</v>
      </c>
      <c r="N127" s="39">
        <f t="shared" si="16"/>
        <v>1086.7</v>
      </c>
      <c r="O127" s="100">
        <v>45.4</v>
      </c>
      <c r="P127" s="92">
        <f t="shared" si="17"/>
        <v>1132.1000000000001</v>
      </c>
      <c r="Q127" s="39">
        <f t="shared" si="20"/>
        <v>23.681000000000001</v>
      </c>
      <c r="R127" s="144">
        <f t="shared" si="21"/>
        <v>7.1201257861635225</v>
      </c>
      <c r="S127" s="128">
        <f t="shared" si="18"/>
        <v>1.1504007772649987</v>
      </c>
      <c r="T127" s="145">
        <f t="shared" si="19"/>
        <v>3808.6</v>
      </c>
      <c r="U127" s="80"/>
      <c r="V127" s="80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</row>
    <row r="128" spans="1:72" ht="18.75">
      <c r="A128" s="7" t="s">
        <v>146</v>
      </c>
      <c r="B128" s="89">
        <v>199</v>
      </c>
      <c r="C128" s="42">
        <v>981.3</v>
      </c>
      <c r="D128" s="42">
        <v>295</v>
      </c>
      <c r="E128" s="42">
        <v>422.5</v>
      </c>
      <c r="F128" s="42">
        <v>322.10000000000002</v>
      </c>
      <c r="G128" s="42">
        <v>94.7</v>
      </c>
      <c r="H128" s="64"/>
      <c r="I128" s="64"/>
      <c r="J128" s="109">
        <v>45.4</v>
      </c>
      <c r="K128" s="42">
        <v>1451</v>
      </c>
      <c r="L128" s="123">
        <f t="shared" si="15"/>
        <v>3612</v>
      </c>
      <c r="M128" s="42">
        <v>24.3</v>
      </c>
      <c r="N128" s="39">
        <f t="shared" si="16"/>
        <v>839.30000000000007</v>
      </c>
      <c r="O128" s="125">
        <v>45.4</v>
      </c>
      <c r="P128" s="92">
        <f t="shared" si="17"/>
        <v>884.7</v>
      </c>
      <c r="Q128" s="39">
        <f t="shared" si="20"/>
        <v>18.151</v>
      </c>
      <c r="R128" s="144">
        <f t="shared" si="21"/>
        <v>4.4457286432160803</v>
      </c>
      <c r="S128" s="128">
        <f t="shared" si="18"/>
        <v>0.88175856205975223</v>
      </c>
      <c r="T128" s="145">
        <f t="shared" si="19"/>
        <v>3636.3</v>
      </c>
    </row>
    <row r="129" spans="1:22" ht="18.75">
      <c r="A129" s="7" t="s">
        <v>147</v>
      </c>
      <c r="B129" s="89">
        <v>367</v>
      </c>
      <c r="C129" s="42">
        <v>1508.8</v>
      </c>
      <c r="D129" s="42">
        <v>453.6</v>
      </c>
      <c r="E129" s="42">
        <v>611.1</v>
      </c>
      <c r="F129" s="42">
        <v>801.9</v>
      </c>
      <c r="G129" s="42">
        <v>322.39999999999998</v>
      </c>
      <c r="H129" s="64"/>
      <c r="I129" s="64"/>
      <c r="J129" s="109">
        <v>55.2</v>
      </c>
      <c r="K129" s="42">
        <v>2256.9</v>
      </c>
      <c r="L129" s="123">
        <f t="shared" si="15"/>
        <v>6009.9</v>
      </c>
      <c r="M129" s="42">
        <v>50.9</v>
      </c>
      <c r="N129" s="39">
        <f t="shared" si="16"/>
        <v>1735.4</v>
      </c>
      <c r="O129" s="125">
        <v>55.2</v>
      </c>
      <c r="P129" s="92">
        <f t="shared" si="17"/>
        <v>1790.6000000000001</v>
      </c>
      <c r="Q129" s="39">
        <f t="shared" si="20"/>
        <v>16.376000000000001</v>
      </c>
      <c r="R129" s="144">
        <f t="shared" si="21"/>
        <v>4.8790190735694825</v>
      </c>
      <c r="S129" s="128">
        <f t="shared" si="18"/>
        <v>0.79553072625698329</v>
      </c>
      <c r="T129" s="145">
        <f t="shared" si="19"/>
        <v>6060.7999999999993</v>
      </c>
    </row>
    <row r="130" spans="1:22" ht="18.75">
      <c r="A130" s="7" t="s">
        <v>148</v>
      </c>
      <c r="B130" s="89">
        <v>446</v>
      </c>
      <c r="C130" s="42">
        <v>1556.7</v>
      </c>
      <c r="D130" s="42">
        <v>468</v>
      </c>
      <c r="E130" s="42">
        <v>889.3</v>
      </c>
      <c r="F130" s="42">
        <v>804.5</v>
      </c>
      <c r="G130" s="42">
        <v>421.70000000000005</v>
      </c>
      <c r="H130" s="64"/>
      <c r="I130" s="64"/>
      <c r="J130" s="109">
        <v>58.7</v>
      </c>
      <c r="K130" s="42">
        <v>3134.5</v>
      </c>
      <c r="L130" s="123">
        <f t="shared" si="15"/>
        <v>7333.4</v>
      </c>
      <c r="M130" s="42">
        <v>38.299999999999997</v>
      </c>
      <c r="N130" s="39">
        <f t="shared" si="16"/>
        <v>2115.5</v>
      </c>
      <c r="O130" s="125">
        <v>58.7</v>
      </c>
      <c r="P130" s="92">
        <f t="shared" si="17"/>
        <v>2174.1999999999998</v>
      </c>
      <c r="Q130" s="39">
        <f t="shared" si="20"/>
        <v>16.443000000000001</v>
      </c>
      <c r="R130" s="144">
        <f t="shared" si="21"/>
        <v>4.8748878923766812</v>
      </c>
      <c r="S130" s="128">
        <f t="shared" si="18"/>
        <v>0.79878552343939768</v>
      </c>
      <c r="T130" s="145">
        <f t="shared" si="19"/>
        <v>7371.7</v>
      </c>
    </row>
    <row r="131" spans="1:22" ht="18.75">
      <c r="A131" s="7" t="s">
        <v>149</v>
      </c>
      <c r="B131" s="89">
        <v>400</v>
      </c>
      <c r="C131" s="42">
        <v>1604.7</v>
      </c>
      <c r="D131" s="42">
        <v>482.4</v>
      </c>
      <c r="E131" s="42">
        <v>604.6</v>
      </c>
      <c r="F131" s="42">
        <v>608.80000000000007</v>
      </c>
      <c r="G131" s="42">
        <v>376.6</v>
      </c>
      <c r="H131" s="64"/>
      <c r="I131" s="64"/>
      <c r="J131" s="109">
        <v>58.7</v>
      </c>
      <c r="K131" s="42">
        <v>2761.6</v>
      </c>
      <c r="L131" s="123">
        <f t="shared" si="15"/>
        <v>6497.4</v>
      </c>
      <c r="M131" s="42">
        <v>44.6</v>
      </c>
      <c r="N131" s="39">
        <f t="shared" si="16"/>
        <v>1590</v>
      </c>
      <c r="O131" s="125">
        <v>58.7</v>
      </c>
      <c r="P131" s="92">
        <f t="shared" si="17"/>
        <v>1648.7</v>
      </c>
      <c r="Q131" s="39">
        <f t="shared" si="20"/>
        <v>16.244</v>
      </c>
      <c r="R131" s="144">
        <f t="shared" si="21"/>
        <v>4.1217500000000005</v>
      </c>
      <c r="S131" s="128">
        <f t="shared" si="18"/>
        <v>0.78911829001700262</v>
      </c>
      <c r="T131" s="145">
        <f t="shared" si="19"/>
        <v>6542</v>
      </c>
    </row>
    <row r="132" spans="1:22" ht="18.75">
      <c r="A132" s="7" t="s">
        <v>150</v>
      </c>
      <c r="B132" s="89">
        <v>448</v>
      </c>
      <c r="C132" s="42">
        <v>1612.6</v>
      </c>
      <c r="D132" s="42">
        <v>484.8</v>
      </c>
      <c r="E132" s="42">
        <v>1131.8</v>
      </c>
      <c r="F132" s="42">
        <v>712.9</v>
      </c>
      <c r="G132" s="42">
        <v>262.3</v>
      </c>
      <c r="H132" s="64"/>
      <c r="I132" s="64"/>
      <c r="J132" s="109">
        <v>58.7</v>
      </c>
      <c r="K132" s="42">
        <v>2969.8</v>
      </c>
      <c r="L132" s="123">
        <f t="shared" si="15"/>
        <v>7232.9</v>
      </c>
      <c r="M132" s="42">
        <v>32</v>
      </c>
      <c r="N132" s="39">
        <f t="shared" si="16"/>
        <v>2107</v>
      </c>
      <c r="O132" s="125">
        <v>58.7</v>
      </c>
      <c r="P132" s="92">
        <f t="shared" si="17"/>
        <v>2165.6999999999998</v>
      </c>
      <c r="Q132" s="39">
        <f t="shared" si="20"/>
        <v>16.145</v>
      </c>
      <c r="R132" s="144">
        <f t="shared" si="21"/>
        <v>4.8341517857142851</v>
      </c>
      <c r="S132" s="128">
        <f t="shared" si="18"/>
        <v>0.78430896283701723</v>
      </c>
      <c r="T132" s="145">
        <f t="shared" si="19"/>
        <v>7264.9</v>
      </c>
    </row>
    <row r="133" spans="1:22" ht="18.75">
      <c r="A133" s="7" t="s">
        <v>151</v>
      </c>
      <c r="B133" s="89">
        <v>366</v>
      </c>
      <c r="C133" s="42">
        <v>1388.9</v>
      </c>
      <c r="D133" s="42">
        <v>417.6</v>
      </c>
      <c r="E133" s="42">
        <v>536.29999999999995</v>
      </c>
      <c r="F133" s="42">
        <v>583.29999999999995</v>
      </c>
      <c r="G133" s="42">
        <v>200.9</v>
      </c>
      <c r="H133" s="64"/>
      <c r="I133" s="64"/>
      <c r="J133" s="109">
        <v>58.7</v>
      </c>
      <c r="K133" s="42">
        <v>2655.7</v>
      </c>
      <c r="L133" s="123">
        <f t="shared" si="15"/>
        <v>5841.4</v>
      </c>
      <c r="M133" s="42">
        <v>27</v>
      </c>
      <c r="N133" s="39">
        <f t="shared" si="16"/>
        <v>1320.5</v>
      </c>
      <c r="O133" s="125">
        <v>58.7</v>
      </c>
      <c r="P133" s="92">
        <f t="shared" si="17"/>
        <v>1379.2</v>
      </c>
      <c r="Q133" s="39">
        <f t="shared" si="20"/>
        <v>15.96</v>
      </c>
      <c r="R133" s="144">
        <f t="shared" si="21"/>
        <v>3.7683060109289617</v>
      </c>
      <c r="S133" s="128">
        <f t="shared" si="18"/>
        <v>0.77532183628855966</v>
      </c>
      <c r="T133" s="145">
        <f t="shared" si="19"/>
        <v>5868.4</v>
      </c>
    </row>
    <row r="134" spans="1:22" ht="18.75">
      <c r="A134" s="7" t="s">
        <v>152</v>
      </c>
      <c r="B134" s="89">
        <v>444</v>
      </c>
      <c r="C134" s="42">
        <v>1604.7</v>
      </c>
      <c r="D134" s="42">
        <v>482.4</v>
      </c>
      <c r="E134" s="42">
        <v>648.9</v>
      </c>
      <c r="F134" s="42">
        <v>712.2</v>
      </c>
      <c r="G134" s="42">
        <v>235.5</v>
      </c>
      <c r="H134" s="64"/>
      <c r="I134" s="64"/>
      <c r="J134" s="109">
        <v>58.7</v>
      </c>
      <c r="K134" s="42">
        <v>3096.9</v>
      </c>
      <c r="L134" s="123">
        <f t="shared" si="15"/>
        <v>6839.3</v>
      </c>
      <c r="M134" s="42">
        <v>27.7</v>
      </c>
      <c r="N134" s="39">
        <f t="shared" si="16"/>
        <v>1596.6</v>
      </c>
      <c r="O134" s="125">
        <v>58.7</v>
      </c>
      <c r="P134" s="92">
        <f t="shared" si="17"/>
        <v>1655.3</v>
      </c>
      <c r="Q134" s="39">
        <f t="shared" si="20"/>
        <v>15.404</v>
      </c>
      <c r="R134" s="144">
        <f t="shared" si="21"/>
        <v>3.7281531531531531</v>
      </c>
      <c r="S134" s="128">
        <f t="shared" si="18"/>
        <v>0.74831187758076267</v>
      </c>
      <c r="T134" s="145">
        <f t="shared" si="19"/>
        <v>6867</v>
      </c>
    </row>
    <row r="135" spans="1:22" ht="18.75">
      <c r="A135" s="7" t="s">
        <v>153</v>
      </c>
      <c r="B135" s="89">
        <v>370</v>
      </c>
      <c r="C135" s="42">
        <v>1317</v>
      </c>
      <c r="D135" s="42">
        <v>396</v>
      </c>
      <c r="E135" s="42">
        <v>767</v>
      </c>
      <c r="F135" s="42">
        <v>537.20000000000005</v>
      </c>
      <c r="G135" s="42">
        <v>224.7</v>
      </c>
      <c r="H135" s="64"/>
      <c r="I135" s="64"/>
      <c r="J135" s="109">
        <v>58.7</v>
      </c>
      <c r="K135" s="42">
        <v>2336.8000000000002</v>
      </c>
      <c r="L135" s="123">
        <f t="shared" si="15"/>
        <v>5637.4</v>
      </c>
      <c r="M135" s="42">
        <v>31.8</v>
      </c>
      <c r="N135" s="39">
        <f t="shared" si="16"/>
        <v>1528.9</v>
      </c>
      <c r="O135" s="125">
        <v>58.7</v>
      </c>
      <c r="P135" s="92">
        <f t="shared" si="17"/>
        <v>1587.6000000000001</v>
      </c>
      <c r="Q135" s="39">
        <f t="shared" si="20"/>
        <v>15.236000000000001</v>
      </c>
      <c r="R135" s="144">
        <f t="shared" si="21"/>
        <v>4.2908108108108109</v>
      </c>
      <c r="S135" s="128">
        <f t="shared" si="18"/>
        <v>0.74015059509351466</v>
      </c>
      <c r="T135" s="145">
        <f t="shared" si="19"/>
        <v>5669.2</v>
      </c>
    </row>
    <row r="136" spans="1:22" ht="18.75">
      <c r="A136" s="7" t="s">
        <v>266</v>
      </c>
      <c r="B136" s="89">
        <v>333</v>
      </c>
      <c r="C136" s="42">
        <v>1364.9</v>
      </c>
      <c r="D136" s="42">
        <v>410.4</v>
      </c>
      <c r="E136" s="42">
        <v>553.30000000000007</v>
      </c>
      <c r="F136" s="42">
        <v>33.4</v>
      </c>
      <c r="G136" s="42">
        <v>97.4</v>
      </c>
      <c r="H136" s="42">
        <v>375.1</v>
      </c>
      <c r="I136" s="64"/>
      <c r="J136" s="109">
        <v>55.2</v>
      </c>
      <c r="K136" s="42">
        <v>2057.4</v>
      </c>
      <c r="L136" s="123">
        <f t="shared" si="15"/>
        <v>4947.1000000000004</v>
      </c>
      <c r="M136" s="42">
        <v>70</v>
      </c>
      <c r="N136" s="39">
        <f t="shared" si="16"/>
        <v>1059.2</v>
      </c>
      <c r="O136" s="125">
        <v>55.2</v>
      </c>
      <c r="P136" s="92">
        <f t="shared" si="17"/>
        <v>1114.4000000000001</v>
      </c>
      <c r="Q136" s="39">
        <f t="shared" si="20"/>
        <v>14.856</v>
      </c>
      <c r="R136" s="144">
        <f t="shared" si="21"/>
        <v>3.3465465465465467</v>
      </c>
      <c r="S136" s="128">
        <f t="shared" si="18"/>
        <v>0.72169055137235849</v>
      </c>
      <c r="T136" s="145">
        <f t="shared" si="19"/>
        <v>5017.1000000000004</v>
      </c>
    </row>
    <row r="137" spans="1:22" ht="18.75">
      <c r="A137" s="122" t="s">
        <v>160</v>
      </c>
      <c r="B137" s="89">
        <v>175</v>
      </c>
      <c r="C137" s="42">
        <v>893.4</v>
      </c>
      <c r="D137" s="42">
        <v>268.60000000000002</v>
      </c>
      <c r="E137" s="42">
        <v>435.6</v>
      </c>
      <c r="F137" s="42">
        <v>83.6</v>
      </c>
      <c r="G137" s="42">
        <v>92.1</v>
      </c>
      <c r="H137" s="69"/>
      <c r="I137" s="69"/>
      <c r="J137" s="42">
        <v>45.4</v>
      </c>
      <c r="K137" s="42">
        <v>1185.2</v>
      </c>
      <c r="L137" s="123">
        <f t="shared" si="15"/>
        <v>3003.9</v>
      </c>
      <c r="M137" s="6">
        <v>26.3</v>
      </c>
      <c r="N137" s="39">
        <f t="shared" si="16"/>
        <v>611.30000000000007</v>
      </c>
      <c r="O137" s="42">
        <v>45.4</v>
      </c>
      <c r="P137" s="92">
        <f t="shared" si="17"/>
        <v>656.7</v>
      </c>
      <c r="Q137" s="39">
        <f t="shared" si="20"/>
        <v>17.164999999999999</v>
      </c>
      <c r="R137" s="144">
        <f t="shared" si="21"/>
        <v>3.7525714285714287</v>
      </c>
      <c r="S137" s="128">
        <f t="shared" si="18"/>
        <v>0.83385960650959434</v>
      </c>
      <c r="T137" s="145">
        <f t="shared" si="19"/>
        <v>3030.2000000000003</v>
      </c>
      <c r="U137" s="77"/>
      <c r="V137" s="77"/>
    </row>
    <row r="138" spans="1:22" ht="18.75">
      <c r="A138" s="122" t="s">
        <v>158</v>
      </c>
      <c r="B138" s="89">
        <v>103</v>
      </c>
      <c r="C138" s="42">
        <v>749.6</v>
      </c>
      <c r="D138" s="42">
        <v>225.4</v>
      </c>
      <c r="E138" s="42">
        <v>408.3</v>
      </c>
      <c r="F138" s="42">
        <v>127</v>
      </c>
      <c r="G138" s="42">
        <v>63.3</v>
      </c>
      <c r="H138" s="69"/>
      <c r="I138" s="69"/>
      <c r="J138" s="42">
        <v>38.299999999999997</v>
      </c>
      <c r="K138" s="42">
        <v>744.7</v>
      </c>
      <c r="L138" s="123">
        <f t="shared" si="15"/>
        <v>2356.6</v>
      </c>
      <c r="M138" s="6">
        <v>118</v>
      </c>
      <c r="N138" s="39">
        <f t="shared" si="16"/>
        <v>598.59999999999991</v>
      </c>
      <c r="O138" s="42">
        <v>38.299999999999997</v>
      </c>
      <c r="P138" s="92">
        <f t="shared" si="17"/>
        <v>636.89999999999986</v>
      </c>
      <c r="Q138" s="39">
        <f t="shared" si="20"/>
        <v>22.88</v>
      </c>
      <c r="R138" s="144">
        <f t="shared" si="21"/>
        <v>6.1834951456310669</v>
      </c>
      <c r="S138" s="128">
        <f t="shared" si="18"/>
        <v>1.1114889482632984</v>
      </c>
      <c r="T138" s="145">
        <f t="shared" si="19"/>
        <v>2474.6</v>
      </c>
      <c r="U138" s="77"/>
      <c r="V138" s="77"/>
    </row>
    <row r="139" spans="1:22" ht="18.75">
      <c r="A139" s="122" t="s">
        <v>154</v>
      </c>
      <c r="B139" s="89">
        <v>411</v>
      </c>
      <c r="C139" s="42">
        <v>1141.0999999999999</v>
      </c>
      <c r="D139" s="42">
        <v>343.1</v>
      </c>
      <c r="E139" s="42">
        <v>679.4</v>
      </c>
      <c r="F139" s="42">
        <v>531.79999999999995</v>
      </c>
      <c r="G139" s="42">
        <v>193.8</v>
      </c>
      <c r="H139" s="69"/>
      <c r="I139" s="69"/>
      <c r="J139" s="42">
        <v>58.7</v>
      </c>
      <c r="K139" s="42">
        <v>2777.8</v>
      </c>
      <c r="L139" s="123">
        <f t="shared" si="15"/>
        <v>5725.7</v>
      </c>
      <c r="M139" s="6">
        <v>55.8</v>
      </c>
      <c r="N139" s="39">
        <f t="shared" si="16"/>
        <v>1404.9999999999998</v>
      </c>
      <c r="O139" s="42">
        <v>58.7</v>
      </c>
      <c r="P139" s="92">
        <f t="shared" si="17"/>
        <v>1463.6999999999998</v>
      </c>
      <c r="Q139" s="39">
        <f t="shared" si="20"/>
        <v>13.930999999999999</v>
      </c>
      <c r="R139" s="144">
        <f t="shared" si="21"/>
        <v>3.561313868613138</v>
      </c>
      <c r="S139" s="128">
        <f t="shared" si="18"/>
        <v>0.67675491863007042</v>
      </c>
      <c r="T139" s="145">
        <f t="shared" si="19"/>
        <v>5781.5</v>
      </c>
      <c r="U139" s="77"/>
      <c r="V139" s="77"/>
    </row>
    <row r="140" spans="1:22" ht="18.75">
      <c r="A140" s="122" t="s">
        <v>155</v>
      </c>
      <c r="B140" s="89">
        <v>348</v>
      </c>
      <c r="C140" s="42">
        <v>1117.2</v>
      </c>
      <c r="D140" s="42">
        <v>335.9</v>
      </c>
      <c r="E140" s="42">
        <v>455.1</v>
      </c>
      <c r="F140" s="42">
        <v>368.9</v>
      </c>
      <c r="G140" s="42">
        <v>119</v>
      </c>
      <c r="H140" s="69"/>
      <c r="I140" s="69"/>
      <c r="J140" s="42">
        <v>52.2</v>
      </c>
      <c r="K140" s="42">
        <v>2621.1999999999998</v>
      </c>
      <c r="L140" s="123">
        <f t="shared" si="15"/>
        <v>5069.5</v>
      </c>
      <c r="M140" s="6">
        <v>48.8</v>
      </c>
      <c r="N140" s="39">
        <f t="shared" si="16"/>
        <v>943</v>
      </c>
      <c r="O140" s="42">
        <v>52.2</v>
      </c>
      <c r="P140" s="92">
        <f t="shared" si="17"/>
        <v>995.2</v>
      </c>
      <c r="Q140" s="39">
        <f t="shared" si="20"/>
        <v>14.568</v>
      </c>
      <c r="R140" s="144">
        <f t="shared" si="21"/>
        <v>2.859770114942529</v>
      </c>
      <c r="S140" s="128">
        <f t="shared" si="18"/>
        <v>0.70769978139421907</v>
      </c>
      <c r="T140" s="145">
        <f t="shared" si="19"/>
        <v>5118.3</v>
      </c>
      <c r="U140" s="77"/>
      <c r="V140" s="77"/>
    </row>
    <row r="141" spans="1:22" ht="18.75">
      <c r="A141" s="122" t="s">
        <v>156</v>
      </c>
      <c r="B141" s="89">
        <v>233</v>
      </c>
      <c r="C141" s="42">
        <v>853.4</v>
      </c>
      <c r="D141" s="42">
        <v>256.60000000000002</v>
      </c>
      <c r="E141" s="42">
        <v>312</v>
      </c>
      <c r="F141" s="42">
        <v>283.89999999999998</v>
      </c>
      <c r="G141" s="42">
        <v>71.099999999999994</v>
      </c>
      <c r="H141" s="69"/>
      <c r="I141" s="69"/>
      <c r="J141" s="42">
        <v>45.4</v>
      </c>
      <c r="K141" s="42">
        <v>1520</v>
      </c>
      <c r="L141" s="123">
        <f t="shared" si="15"/>
        <v>3342.4</v>
      </c>
      <c r="M141" s="6">
        <v>32.299999999999997</v>
      </c>
      <c r="N141" s="39">
        <f t="shared" si="16"/>
        <v>667</v>
      </c>
      <c r="O141" s="42">
        <v>45.4</v>
      </c>
      <c r="P141" s="92">
        <f t="shared" si="17"/>
        <v>712.4</v>
      </c>
      <c r="Q141" s="39">
        <f t="shared" si="20"/>
        <v>14.345000000000001</v>
      </c>
      <c r="R141" s="144">
        <f t="shared" si="21"/>
        <v>3.0575107296137336</v>
      </c>
      <c r="S141" s="128">
        <f t="shared" si="18"/>
        <v>0.69686665047364582</v>
      </c>
      <c r="T141" s="145">
        <f t="shared" si="19"/>
        <v>3374.7000000000003</v>
      </c>
      <c r="U141" s="77"/>
      <c r="V141" s="77"/>
    </row>
    <row r="142" spans="1:22" ht="18.75">
      <c r="A142" s="120">
        <v>186</v>
      </c>
      <c r="B142" s="106">
        <v>348</v>
      </c>
      <c r="C142" s="42">
        <v>1213.0999999999999</v>
      </c>
      <c r="D142" s="42">
        <v>364.7</v>
      </c>
      <c r="E142" s="42">
        <v>1001.1</v>
      </c>
      <c r="F142" s="42">
        <v>978.7</v>
      </c>
      <c r="G142" s="42">
        <v>172.89999999999998</v>
      </c>
      <c r="H142" s="70"/>
      <c r="I142" s="70"/>
      <c r="J142" s="44">
        <v>64.900000000000006</v>
      </c>
      <c r="K142" s="44">
        <v>2536.1</v>
      </c>
      <c r="L142" s="123">
        <f t="shared" si="15"/>
        <v>6331.5</v>
      </c>
      <c r="M142" s="97">
        <v>154.6</v>
      </c>
      <c r="N142" s="39">
        <f t="shared" si="16"/>
        <v>2152.7000000000003</v>
      </c>
      <c r="O142" s="44">
        <v>64.900000000000006</v>
      </c>
      <c r="P142" s="92">
        <f t="shared" si="17"/>
        <v>2217.6000000000004</v>
      </c>
      <c r="Q142" s="39">
        <f t="shared" si="20"/>
        <v>18.193999999999999</v>
      </c>
      <c r="R142" s="144">
        <f t="shared" si="21"/>
        <v>6.3724137931034495</v>
      </c>
      <c r="S142" s="128">
        <f t="shared" si="18"/>
        <v>0.88384746174398821</v>
      </c>
      <c r="T142" s="145">
        <f t="shared" si="19"/>
        <v>6486.1</v>
      </c>
      <c r="U142" s="77"/>
      <c r="V142" s="77"/>
    </row>
    <row r="143" spans="1:22" ht="18.75">
      <c r="A143" s="7" t="s">
        <v>162</v>
      </c>
      <c r="B143" s="89">
        <v>414</v>
      </c>
      <c r="C143" s="42">
        <v>1580.7</v>
      </c>
      <c r="D143" s="42">
        <v>475.2</v>
      </c>
      <c r="E143" s="42">
        <v>871.1</v>
      </c>
      <c r="F143" s="42">
        <v>936.2</v>
      </c>
      <c r="G143" s="42">
        <v>365.70000000000005</v>
      </c>
      <c r="H143" s="69"/>
      <c r="I143" s="69"/>
      <c r="J143" s="6">
        <v>58.7</v>
      </c>
      <c r="K143" s="42">
        <v>2740.9</v>
      </c>
      <c r="L143" s="123">
        <f t="shared" si="15"/>
        <v>7028.5</v>
      </c>
      <c r="M143" s="6">
        <v>38.1</v>
      </c>
      <c r="N143" s="39">
        <f t="shared" si="16"/>
        <v>2173</v>
      </c>
      <c r="O143" s="7">
        <v>58.7</v>
      </c>
      <c r="P143" s="92">
        <f t="shared" si="17"/>
        <v>2231.6999999999998</v>
      </c>
      <c r="Q143" s="39">
        <f t="shared" si="20"/>
        <v>16.977</v>
      </c>
      <c r="R143" s="144">
        <f t="shared" si="21"/>
        <v>5.3905797101449275</v>
      </c>
      <c r="S143" s="128">
        <f t="shared" si="18"/>
        <v>0.82472674277386449</v>
      </c>
      <c r="T143" s="145">
        <f t="shared" si="19"/>
        <v>7066.6</v>
      </c>
      <c r="U143" s="77"/>
      <c r="V143" s="77"/>
    </row>
    <row r="144" spans="1:22" ht="18.75">
      <c r="A144" s="122" t="s">
        <v>157</v>
      </c>
      <c r="B144" s="89">
        <v>401</v>
      </c>
      <c r="C144" s="42">
        <v>1479.1</v>
      </c>
      <c r="D144" s="42">
        <v>633.79999999999995</v>
      </c>
      <c r="E144" s="42">
        <v>853.1</v>
      </c>
      <c r="F144" s="42">
        <v>910</v>
      </c>
      <c r="G144" s="42">
        <v>143</v>
      </c>
      <c r="H144" s="69"/>
      <c r="I144" s="69"/>
      <c r="J144" s="42">
        <v>77</v>
      </c>
      <c r="K144" s="7">
        <v>2485.6</v>
      </c>
      <c r="L144" s="123">
        <f t="shared" si="15"/>
        <v>6581.6</v>
      </c>
      <c r="M144" s="6">
        <v>660</v>
      </c>
      <c r="N144" s="39">
        <f t="shared" si="16"/>
        <v>1906.1</v>
      </c>
      <c r="O144" s="42">
        <v>77</v>
      </c>
      <c r="P144" s="92">
        <f t="shared" si="17"/>
        <v>1983.1</v>
      </c>
      <c r="Q144" s="39">
        <f t="shared" si="20"/>
        <v>16.413</v>
      </c>
      <c r="R144" s="144">
        <f t="shared" si="21"/>
        <v>4.9453865336658351</v>
      </c>
      <c r="S144" s="128">
        <f t="shared" si="18"/>
        <v>0.79732815156667469</v>
      </c>
      <c r="T144" s="145">
        <f>L144+M144</f>
        <v>7241.6</v>
      </c>
      <c r="U144" s="77"/>
      <c r="V144" s="77"/>
    </row>
    <row r="145" spans="1:72" ht="18.75">
      <c r="A145" s="122" t="s">
        <v>159</v>
      </c>
      <c r="B145" s="89">
        <v>162</v>
      </c>
      <c r="C145" s="42">
        <v>885.4</v>
      </c>
      <c r="D145" s="42">
        <v>266.2</v>
      </c>
      <c r="E145" s="42">
        <v>195</v>
      </c>
      <c r="F145" s="42">
        <v>162.5</v>
      </c>
      <c r="G145" s="42">
        <v>73.900000000000006</v>
      </c>
      <c r="H145" s="69"/>
      <c r="I145" s="69"/>
      <c r="J145" s="42">
        <v>45.4</v>
      </c>
      <c r="K145" s="7">
        <v>1223.4000000000001</v>
      </c>
      <c r="L145" s="123">
        <f t="shared" si="15"/>
        <v>2851.8</v>
      </c>
      <c r="M145" s="42">
        <v>22.2</v>
      </c>
      <c r="N145" s="39">
        <f t="shared" si="16"/>
        <v>431.4</v>
      </c>
      <c r="O145" s="42">
        <v>45.4</v>
      </c>
      <c r="P145" s="92">
        <f t="shared" si="17"/>
        <v>476.79999999999995</v>
      </c>
      <c r="Q145" s="39">
        <f t="shared" si="20"/>
        <v>17.603999999999999</v>
      </c>
      <c r="R145" s="144">
        <f t="shared" si="21"/>
        <v>2.9432098765432095</v>
      </c>
      <c r="S145" s="128">
        <f t="shared" si="18"/>
        <v>0.8551858149137721</v>
      </c>
      <c r="T145" s="145">
        <f t="shared" si="19"/>
        <v>2874</v>
      </c>
      <c r="U145" s="77"/>
      <c r="V145" s="77"/>
    </row>
    <row r="146" spans="1:72" ht="18.75">
      <c r="A146" s="122" t="s">
        <v>161</v>
      </c>
      <c r="B146" s="89">
        <v>372</v>
      </c>
      <c r="C146" s="42">
        <v>1317.5</v>
      </c>
      <c r="D146" s="42">
        <v>396.1</v>
      </c>
      <c r="E146" s="42">
        <v>744.3</v>
      </c>
      <c r="F146" s="42">
        <v>443.9</v>
      </c>
      <c r="G146" s="42">
        <v>215.6</v>
      </c>
      <c r="H146" s="69"/>
      <c r="I146" s="69"/>
      <c r="J146" s="42">
        <f>58.7+1.6</f>
        <v>60.300000000000004</v>
      </c>
      <c r="K146" s="7">
        <v>2682.2</v>
      </c>
      <c r="L146" s="123">
        <f>ROUND(C146+D146+H146+J146+K146+F146+G146+E146,1)</f>
        <v>5859.9</v>
      </c>
      <c r="M146" s="42">
        <f>107.3+0.4+203.1</f>
        <v>310.8</v>
      </c>
      <c r="N146" s="39">
        <f t="shared" ref="N146:N147" si="22">E146+F146+G146+H146+I146</f>
        <v>1403.7999999999997</v>
      </c>
      <c r="O146" s="42">
        <f>58.7+1.6</f>
        <v>60.300000000000004</v>
      </c>
      <c r="P146" s="92">
        <f t="shared" ref="P146:P147" si="23">N146+O146</f>
        <v>1464.0999999999997</v>
      </c>
      <c r="Q146" s="39">
        <f t="shared" si="20"/>
        <v>15.752000000000001</v>
      </c>
      <c r="R146" s="144">
        <f t="shared" si="21"/>
        <v>3.9357526881720419</v>
      </c>
      <c r="S146" s="128">
        <f t="shared" ref="S146:S148" si="24">Q146/20.585</f>
        <v>0.76521739130434785</v>
      </c>
      <c r="T146" s="145">
        <f t="shared" ref="T146:T147" si="25">L146+M146</f>
        <v>6170.7</v>
      </c>
      <c r="U146" s="77"/>
      <c r="V146" s="77"/>
    </row>
    <row r="147" spans="1:72" ht="18.75">
      <c r="A147" s="122" t="s">
        <v>291</v>
      </c>
      <c r="B147" s="89"/>
      <c r="C147" s="42">
        <f>949.3+0.4</f>
        <v>949.69999999999993</v>
      </c>
      <c r="D147" s="42">
        <f>285.4-0.5</f>
        <v>284.89999999999998</v>
      </c>
      <c r="E147" s="63"/>
      <c r="F147" s="63"/>
      <c r="G147" s="63"/>
      <c r="H147" s="69"/>
      <c r="I147" s="69"/>
      <c r="J147" s="42"/>
      <c r="K147" s="42"/>
      <c r="L147" s="123">
        <f t="shared" ref="L147" si="26">ROUND(C147+D147+H147+J147+K147+F147+G147+E147,1)</f>
        <v>1234.5999999999999</v>
      </c>
      <c r="M147" s="6"/>
      <c r="N147" s="39">
        <f t="shared" si="22"/>
        <v>0</v>
      </c>
      <c r="O147" s="93"/>
      <c r="P147" s="92">
        <f t="shared" si="23"/>
        <v>0</v>
      </c>
      <c r="Q147" s="39" t="e">
        <f t="shared" ref="Q147" si="27">ROUND(L147/B147,3)</f>
        <v>#DIV/0!</v>
      </c>
      <c r="R147" s="144" t="e">
        <f t="shared" si="21"/>
        <v>#DIV/0!</v>
      </c>
      <c r="S147" s="128" t="e">
        <f t="shared" si="24"/>
        <v>#DIV/0!</v>
      </c>
      <c r="T147" s="145">
        <f t="shared" si="25"/>
        <v>1234.5999999999999</v>
      </c>
      <c r="U147" s="77"/>
      <c r="V147" s="77"/>
    </row>
    <row r="148" spans="1:72" s="114" customFormat="1" ht="18.75">
      <c r="A148" s="111" t="s">
        <v>263</v>
      </c>
      <c r="B148" s="112">
        <f t="shared" ref="B148:J148" si="28">SUM(B17:B147)</f>
        <v>30745</v>
      </c>
      <c r="C148" s="112">
        <f t="shared" si="28"/>
        <v>139804.69999999998</v>
      </c>
      <c r="D148" s="112">
        <f t="shared" si="28"/>
        <v>42220.999999999978</v>
      </c>
      <c r="E148" s="112">
        <f t="shared" si="28"/>
        <v>60381.999999999978</v>
      </c>
      <c r="F148" s="112">
        <f t="shared" si="28"/>
        <v>45706.80000000001</v>
      </c>
      <c r="G148" s="112">
        <f t="shared" si="28"/>
        <v>15652.900000000007</v>
      </c>
      <c r="H148" s="112">
        <f t="shared" si="28"/>
        <v>403.20000000000005</v>
      </c>
      <c r="I148" s="112">
        <f t="shared" si="28"/>
        <v>71.8</v>
      </c>
      <c r="J148" s="112">
        <f t="shared" si="28"/>
        <v>6493.0999999999967</v>
      </c>
      <c r="K148" s="112">
        <f>SUM(K17:K147)</f>
        <v>217329.30000000002</v>
      </c>
      <c r="L148" s="112">
        <f>SUM(L17:L147)</f>
        <v>528064.80000000016</v>
      </c>
      <c r="M148" s="112">
        <f t="shared" ref="M148:P148" si="29">SUM(M17:M147)</f>
        <v>5428.6000000000022</v>
      </c>
      <c r="N148" s="112">
        <f t="shared" si="29"/>
        <v>122216.69999999997</v>
      </c>
      <c r="O148" s="112">
        <f t="shared" si="29"/>
        <v>6493.0999999999967</v>
      </c>
      <c r="P148" s="112">
        <f t="shared" si="29"/>
        <v>128709.79999999999</v>
      </c>
      <c r="Q148" s="39">
        <f>ROUND(L148/B148,3)</f>
        <v>17.175999999999998</v>
      </c>
      <c r="R148" s="144">
        <f>P148/B148</f>
        <v>4.1863652626443324</v>
      </c>
      <c r="S148" s="128">
        <f t="shared" si="24"/>
        <v>0.83439397619625932</v>
      </c>
      <c r="T148" s="112">
        <f t="shared" ref="T148" si="30">SUM(T17:T147)</f>
        <v>533493.39999999956</v>
      </c>
      <c r="U148" s="80"/>
      <c r="V148" s="80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7"/>
      <c r="BR148" s="87"/>
      <c r="BS148" s="87"/>
      <c r="BT148" s="87"/>
    </row>
    <row r="149" spans="1:72">
      <c r="A149" s="89"/>
      <c r="B149" s="89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39"/>
    </row>
    <row r="150" spans="1:72">
      <c r="A150" s="6"/>
      <c r="B150" s="115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/>
      <c r="O150" s="7">
        <v>20.585000000000001</v>
      </c>
      <c r="P150" s="39"/>
    </row>
    <row r="151" spans="1:72">
      <c r="C151" s="95"/>
      <c r="D151" s="95"/>
      <c r="E151" s="95"/>
      <c r="F151" s="95"/>
      <c r="G151" s="95"/>
      <c r="H151" s="95"/>
      <c r="I151" s="95"/>
      <c r="J151" s="95"/>
      <c r="K151" s="95"/>
      <c r="P151" s="116"/>
      <c r="S151" s="117"/>
      <c r="T151" s="25">
        <v>533493.4</v>
      </c>
    </row>
    <row r="152" spans="1:72">
      <c r="L152" s="118"/>
      <c r="P152" s="116"/>
      <c r="Q152" s="95"/>
      <c r="T152" s="117"/>
    </row>
    <row r="153" spans="1:72">
      <c r="P153" s="116"/>
    </row>
    <row r="154" spans="1:72">
      <c r="P154" s="116"/>
    </row>
    <row r="155" spans="1:72">
      <c r="P155" s="116"/>
    </row>
    <row r="156" spans="1:72">
      <c r="P156" s="116"/>
    </row>
  </sheetData>
  <mergeCells count="3">
    <mergeCell ref="A1:B1"/>
    <mergeCell ref="A3:P3"/>
    <mergeCell ref="A16:P16"/>
  </mergeCell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00B050"/>
  </sheetPr>
  <dimension ref="A1:BT158"/>
  <sheetViews>
    <sheetView workbookViewId="0">
      <pane ySplit="3810" topLeftCell="A130" activePane="bottomLeft"/>
      <selection sqref="A1:XFD1048576"/>
      <selection pane="bottomLeft" activeCell="P148" sqref="P148"/>
    </sheetView>
  </sheetViews>
  <sheetFormatPr defaultRowHeight="15"/>
  <cols>
    <col min="1" max="1" width="15" style="25" customWidth="1"/>
    <col min="2" max="2" width="11.7109375" style="25" customWidth="1"/>
    <col min="3" max="3" width="10.85546875" style="25" customWidth="1"/>
    <col min="4" max="4" width="9.7109375" style="25" customWidth="1"/>
    <col min="5" max="5" width="11" style="25" customWidth="1"/>
    <col min="6" max="6" width="9.85546875" style="25" customWidth="1"/>
    <col min="7" max="7" width="9.85546875" style="25" bestFit="1" customWidth="1"/>
    <col min="8" max="8" width="9.42578125" style="25" bestFit="1" customWidth="1"/>
    <col min="9" max="9" width="9.42578125" style="25" customWidth="1"/>
    <col min="10" max="10" width="11" style="25" bestFit="1" customWidth="1"/>
    <col min="11" max="11" width="10" style="25" bestFit="1" customWidth="1"/>
    <col min="12" max="12" width="11" style="25" bestFit="1" customWidth="1"/>
    <col min="13" max="13" width="10" style="25" customWidth="1"/>
    <col min="14" max="14" width="11" style="25" bestFit="1" customWidth="1"/>
    <col min="15" max="15" width="11.7109375" style="25" customWidth="1"/>
    <col min="16" max="16" width="10.42578125" style="25" customWidth="1"/>
    <col min="17" max="17" width="10.5703125" style="25" bestFit="1" customWidth="1"/>
    <col min="18" max="18" width="12.28515625" style="80" customWidth="1"/>
    <col min="19" max="19" width="9.42578125" style="80" bestFit="1" customWidth="1"/>
    <col min="20" max="20" width="10.7109375" style="80" customWidth="1"/>
    <col min="21" max="22" width="9.140625" style="80"/>
    <col min="23" max="72" width="9.140625" style="87"/>
    <col min="73" max="16384" width="9.140625" style="25"/>
  </cols>
  <sheetData>
    <row r="1" spans="1:72">
      <c r="A1" s="207" t="s">
        <v>314</v>
      </c>
      <c r="B1" s="207"/>
      <c r="C1" s="78"/>
      <c r="D1" s="78"/>
      <c r="E1" s="79"/>
      <c r="F1" s="79"/>
      <c r="G1" s="79"/>
      <c r="H1" s="78"/>
      <c r="I1" s="78"/>
      <c r="J1" s="78"/>
      <c r="K1" s="78"/>
      <c r="L1" s="78"/>
    </row>
    <row r="2" spans="1:72" ht="176.25" customHeight="1">
      <c r="A2" s="4" t="s">
        <v>11</v>
      </c>
      <c r="B2" s="4" t="s">
        <v>260</v>
      </c>
      <c r="C2" s="71">
        <v>211</v>
      </c>
      <c r="D2" s="71">
        <v>213</v>
      </c>
      <c r="E2" s="71" t="s">
        <v>13</v>
      </c>
      <c r="F2" s="71" t="s">
        <v>267</v>
      </c>
      <c r="G2" s="71" t="s">
        <v>12</v>
      </c>
      <c r="H2" s="71" t="s">
        <v>14</v>
      </c>
      <c r="I2" s="71" t="s">
        <v>269</v>
      </c>
      <c r="J2" s="71" t="s">
        <v>15</v>
      </c>
      <c r="K2" s="73" t="s">
        <v>261</v>
      </c>
      <c r="L2" s="82" t="s">
        <v>262</v>
      </c>
      <c r="M2" s="139" t="s">
        <v>310</v>
      </c>
      <c r="N2" s="142" t="s">
        <v>297</v>
      </c>
      <c r="O2" s="143" t="s">
        <v>298</v>
      </c>
      <c r="P2" s="137" t="s">
        <v>312</v>
      </c>
      <c r="Q2" s="147" t="s">
        <v>307</v>
      </c>
      <c r="R2" s="146" t="s">
        <v>309</v>
      </c>
      <c r="S2" s="8" t="s">
        <v>313</v>
      </c>
      <c r="T2" s="43" t="s">
        <v>293</v>
      </c>
    </row>
    <row r="3" spans="1:72" s="87" customFormat="1" ht="15.75" hidden="1">
      <c r="A3" s="208" t="s">
        <v>264</v>
      </c>
      <c r="B3" s="209"/>
      <c r="C3" s="209"/>
      <c r="D3" s="209"/>
      <c r="E3" s="209"/>
      <c r="F3" s="209"/>
      <c r="G3" s="209"/>
      <c r="H3" s="209"/>
      <c r="I3" s="209"/>
      <c r="J3" s="209"/>
      <c r="K3" s="209"/>
      <c r="L3" s="209"/>
      <c r="M3" s="209"/>
      <c r="N3" s="209"/>
      <c r="O3" s="209"/>
      <c r="P3" s="210"/>
      <c r="Q3" s="84"/>
      <c r="R3" s="85"/>
      <c r="S3" s="85"/>
      <c r="T3" s="86"/>
      <c r="U3" s="86"/>
      <c r="V3" s="80"/>
    </row>
    <row r="4" spans="1:72" ht="18.75" hidden="1">
      <c r="A4" s="88" t="s">
        <v>268</v>
      </c>
      <c r="B4" s="89"/>
      <c r="C4" s="52"/>
      <c r="D4" s="52"/>
      <c r="E4" s="44"/>
      <c r="F4" s="44"/>
      <c r="G4" s="44"/>
      <c r="H4" s="90"/>
      <c r="I4" s="90"/>
      <c r="J4" s="90"/>
      <c r="K4" s="90"/>
      <c r="L4" s="91">
        <f t="shared" ref="L4:L14" si="0">ROUND(C4+D4+H4+J4+K4+(F4/2)+G4+(E4*0.9),1)</f>
        <v>0</v>
      </c>
      <c r="M4" s="125" t="e">
        <f>ROUND(#REF!+(F4-(F4/2))+(E4*0.1),1)</f>
        <v>#REF!</v>
      </c>
      <c r="N4" s="125" t="e">
        <f>ROUND(#REF!+#REF!,1)</f>
        <v>#REF!</v>
      </c>
      <c r="O4" s="93" t="e">
        <f>#REF!/#REF!</f>
        <v>#REF!</v>
      </c>
      <c r="P4" s="94" t="e">
        <f>O4/23.095</f>
        <v>#REF!</v>
      </c>
      <c r="Q4" s="95">
        <f t="shared" ref="Q4:Q14" si="1">SUM(C4:K4)</f>
        <v>0</v>
      </c>
      <c r="R4" s="85"/>
      <c r="S4" s="85"/>
    </row>
    <row r="5" spans="1:72" ht="18.75" hidden="1">
      <c r="A5" s="88">
        <v>75</v>
      </c>
      <c r="B5" s="89"/>
      <c r="C5" s="52"/>
      <c r="D5" s="52"/>
      <c r="E5" s="44"/>
      <c r="F5" s="44"/>
      <c r="G5" s="44"/>
      <c r="H5" s="90"/>
      <c r="I5" s="90"/>
      <c r="J5" s="96"/>
      <c r="K5" s="97"/>
      <c r="L5" s="91">
        <f t="shared" si="0"/>
        <v>0</v>
      </c>
      <c r="M5" s="125" t="e">
        <f>ROUND(#REF!+(F5-(F5/2))+(E5*0.1),1)</f>
        <v>#REF!</v>
      </c>
      <c r="N5" s="125" t="e">
        <f>ROUND(#REF!+#REF!,1)</f>
        <v>#REF!</v>
      </c>
      <c r="O5" s="93" t="e">
        <f>#REF!/#REF!</f>
        <v>#REF!</v>
      </c>
      <c r="P5" s="94" t="e">
        <f t="shared" ref="P5:P14" si="2">O5/23.095</f>
        <v>#REF!</v>
      </c>
      <c r="Q5" s="95">
        <f t="shared" si="1"/>
        <v>0</v>
      </c>
      <c r="R5" s="85"/>
      <c r="S5" s="85"/>
    </row>
    <row r="6" spans="1:72" ht="18.75" hidden="1">
      <c r="A6" s="88">
        <v>106</v>
      </c>
      <c r="B6" s="89"/>
      <c r="C6" s="52"/>
      <c r="D6" s="52"/>
      <c r="E6" s="44"/>
      <c r="F6" s="44"/>
      <c r="G6" s="44"/>
      <c r="H6" s="90"/>
      <c r="I6" s="90"/>
      <c r="J6" s="96"/>
      <c r="K6" s="97"/>
      <c r="L6" s="91">
        <f t="shared" si="0"/>
        <v>0</v>
      </c>
      <c r="M6" s="125" t="e">
        <f>ROUND(#REF!+(F6-(F6/2))+(E6*0.1),1)</f>
        <v>#REF!</v>
      </c>
      <c r="N6" s="125" t="e">
        <f>ROUND(#REF!+#REF!,1)</f>
        <v>#REF!</v>
      </c>
      <c r="O6" s="93" t="e">
        <f>#REF!/#REF!</f>
        <v>#REF!</v>
      </c>
      <c r="P6" s="94" t="e">
        <f t="shared" si="2"/>
        <v>#REF!</v>
      </c>
      <c r="Q6" s="95">
        <f t="shared" si="1"/>
        <v>0</v>
      </c>
      <c r="R6" s="85"/>
      <c r="S6" s="85"/>
    </row>
    <row r="7" spans="1:72" ht="18.75" hidden="1">
      <c r="A7" s="88">
        <v>139</v>
      </c>
      <c r="B7" s="89"/>
      <c r="C7" s="52"/>
      <c r="D7" s="52"/>
      <c r="E7" s="44"/>
      <c r="F7" s="44"/>
      <c r="G7" s="44"/>
      <c r="H7" s="90"/>
      <c r="I7" s="90"/>
      <c r="J7" s="96"/>
      <c r="K7" s="97"/>
      <c r="L7" s="91">
        <f t="shared" si="0"/>
        <v>0</v>
      </c>
      <c r="M7" s="125" t="e">
        <f>ROUND(#REF!+(F7-(F7/2))+(E7*0.1),1)</f>
        <v>#REF!</v>
      </c>
      <c r="N7" s="125" t="e">
        <f>ROUND(#REF!+#REF!,1)</f>
        <v>#REF!</v>
      </c>
      <c r="O7" s="93" t="e">
        <f>#REF!/#REF!</f>
        <v>#REF!</v>
      </c>
      <c r="P7" s="94" t="e">
        <f t="shared" si="2"/>
        <v>#REF!</v>
      </c>
      <c r="Q7" s="95">
        <f t="shared" si="1"/>
        <v>0</v>
      </c>
      <c r="R7" s="85"/>
      <c r="S7" s="85"/>
    </row>
    <row r="8" spans="1:72" ht="18.75" hidden="1">
      <c r="A8" s="88">
        <v>159</v>
      </c>
      <c r="B8" s="89"/>
      <c r="C8" s="52"/>
      <c r="D8" s="52"/>
      <c r="E8" s="44"/>
      <c r="F8" s="44"/>
      <c r="G8" s="44"/>
      <c r="H8" s="90"/>
      <c r="I8" s="90"/>
      <c r="J8" s="98"/>
      <c r="K8" s="44"/>
      <c r="L8" s="91">
        <f t="shared" si="0"/>
        <v>0</v>
      </c>
      <c r="M8" s="125" t="e">
        <f>ROUND(#REF!+(F8-(F8/2))+(E8*0.1),1)</f>
        <v>#REF!</v>
      </c>
      <c r="N8" s="125" t="e">
        <f>ROUND(#REF!+#REF!,1)</f>
        <v>#REF!</v>
      </c>
      <c r="O8" s="93" t="e">
        <f>#REF!/#REF!</f>
        <v>#REF!</v>
      </c>
      <c r="P8" s="94" t="e">
        <f t="shared" si="2"/>
        <v>#REF!</v>
      </c>
      <c r="Q8" s="95">
        <f t="shared" si="1"/>
        <v>0</v>
      </c>
      <c r="R8" s="85"/>
      <c r="S8" s="85"/>
    </row>
    <row r="9" spans="1:72" ht="18.75" hidden="1">
      <c r="A9" s="88">
        <v>173</v>
      </c>
      <c r="B9" s="89"/>
      <c r="C9" s="52"/>
      <c r="D9" s="52"/>
      <c r="E9" s="44"/>
      <c r="F9" s="44"/>
      <c r="G9" s="44"/>
      <c r="H9" s="90"/>
      <c r="I9" s="90"/>
      <c r="J9" s="98"/>
      <c r="K9" s="44"/>
      <c r="L9" s="91">
        <f t="shared" si="0"/>
        <v>0</v>
      </c>
      <c r="M9" s="125" t="e">
        <f>ROUND(#REF!+(F9-(F9/2))+(E9*0.1),1)</f>
        <v>#REF!</v>
      </c>
      <c r="N9" s="125" t="e">
        <f>ROUND(#REF!+#REF!,1)</f>
        <v>#REF!</v>
      </c>
      <c r="O9" s="93" t="e">
        <f>#REF!/#REF!</f>
        <v>#REF!</v>
      </c>
      <c r="P9" s="94" t="e">
        <f t="shared" si="2"/>
        <v>#REF!</v>
      </c>
      <c r="Q9" s="95">
        <f t="shared" si="1"/>
        <v>0</v>
      </c>
      <c r="R9" s="85"/>
      <c r="S9" s="85"/>
    </row>
    <row r="10" spans="1:72" ht="18.75" hidden="1">
      <c r="A10" s="88">
        <v>84</v>
      </c>
      <c r="B10" s="89"/>
      <c r="C10" s="97"/>
      <c r="D10" s="99"/>
      <c r="E10" s="100"/>
      <c r="F10" s="90"/>
      <c r="G10" s="90"/>
      <c r="H10" s="90"/>
      <c r="I10" s="90"/>
      <c r="J10" s="98"/>
      <c r="K10" s="44"/>
      <c r="L10" s="91">
        <f t="shared" si="0"/>
        <v>0</v>
      </c>
      <c r="M10" s="125" t="e">
        <f>ROUND(#REF!+(F10-(F10/2))+(E10*0.1),1)</f>
        <v>#REF!</v>
      </c>
      <c r="N10" s="125" t="e">
        <f>ROUND(#REF!+#REF!,1)</f>
        <v>#REF!</v>
      </c>
      <c r="O10" s="93" t="e">
        <f>#REF!/#REF!</f>
        <v>#REF!</v>
      </c>
      <c r="P10" s="94" t="e">
        <f t="shared" si="2"/>
        <v>#REF!</v>
      </c>
      <c r="Q10" s="95">
        <f t="shared" si="1"/>
        <v>0</v>
      </c>
      <c r="R10" s="85"/>
      <c r="S10" s="85"/>
    </row>
    <row r="11" spans="1:72" ht="18.75" hidden="1">
      <c r="A11" s="88">
        <v>101</v>
      </c>
      <c r="B11" s="89"/>
      <c r="C11" s="97"/>
      <c r="D11" s="99"/>
      <c r="E11" s="100"/>
      <c r="F11" s="90"/>
      <c r="G11" s="90"/>
      <c r="H11" s="90"/>
      <c r="I11" s="90"/>
      <c r="J11" s="98"/>
      <c r="K11" s="44"/>
      <c r="L11" s="91">
        <f t="shared" si="0"/>
        <v>0</v>
      </c>
      <c r="M11" s="125" t="e">
        <f>ROUND(#REF!+(F11-(F11/2))+(E11*0.1),1)</f>
        <v>#REF!</v>
      </c>
      <c r="N11" s="125" t="e">
        <f>ROUND(#REF!+#REF!,1)</f>
        <v>#REF!</v>
      </c>
      <c r="O11" s="93" t="e">
        <f>#REF!/#REF!</f>
        <v>#REF!</v>
      </c>
      <c r="P11" s="94" t="e">
        <f t="shared" si="2"/>
        <v>#REF!</v>
      </c>
      <c r="Q11" s="95">
        <f t="shared" si="1"/>
        <v>0</v>
      </c>
      <c r="R11" s="85"/>
      <c r="S11" s="85"/>
    </row>
    <row r="12" spans="1:72" ht="18.75" hidden="1">
      <c r="A12" s="101">
        <v>85</v>
      </c>
      <c r="B12" s="89"/>
      <c r="C12" s="52"/>
      <c r="D12" s="52"/>
      <c r="E12" s="44"/>
      <c r="F12" s="44"/>
      <c r="G12" s="44"/>
      <c r="H12" s="90"/>
      <c r="I12" s="90"/>
      <c r="J12" s="96"/>
      <c r="K12" s="97"/>
      <c r="L12" s="91">
        <f t="shared" si="0"/>
        <v>0</v>
      </c>
      <c r="M12" s="125" t="e">
        <f>ROUND(#REF!+(F12-(F12/2))+(E12*0.1),1)</f>
        <v>#REF!</v>
      </c>
      <c r="N12" s="125" t="e">
        <f>ROUND(#REF!+#REF!,1)</f>
        <v>#REF!</v>
      </c>
      <c r="O12" s="93" t="e">
        <f>#REF!/#REF!</f>
        <v>#REF!</v>
      </c>
      <c r="P12" s="94" t="e">
        <f t="shared" si="2"/>
        <v>#REF!</v>
      </c>
      <c r="Q12" s="95">
        <f t="shared" si="1"/>
        <v>0</v>
      </c>
      <c r="R12" s="85"/>
      <c r="S12" s="85"/>
    </row>
    <row r="13" spans="1:72" ht="18.75" hidden="1">
      <c r="A13" s="88">
        <v>40</v>
      </c>
      <c r="B13" s="89"/>
      <c r="C13" s="52"/>
      <c r="D13" s="52"/>
      <c r="E13" s="44"/>
      <c r="F13" s="44"/>
      <c r="G13" s="44"/>
      <c r="H13" s="90"/>
      <c r="I13" s="90"/>
      <c r="J13" s="98"/>
      <c r="K13" s="44"/>
      <c r="L13" s="91">
        <f t="shared" si="0"/>
        <v>0</v>
      </c>
      <c r="M13" s="125" t="e">
        <f>ROUND(#REF!+(F13-(F13/2))+(E13*0.1),1)</f>
        <v>#REF!</v>
      </c>
      <c r="N13" s="125" t="e">
        <f>ROUND(#REF!+#REF!,1)</f>
        <v>#REF!</v>
      </c>
      <c r="O13" s="93" t="e">
        <f>#REF!/#REF!</f>
        <v>#REF!</v>
      </c>
      <c r="P13" s="94" t="e">
        <f t="shared" si="2"/>
        <v>#REF!</v>
      </c>
      <c r="Q13" s="95">
        <f t="shared" si="1"/>
        <v>0</v>
      </c>
      <c r="R13" s="85"/>
      <c r="S13" s="85"/>
    </row>
    <row r="14" spans="1:72" ht="18.75" hidden="1">
      <c r="A14" s="88">
        <v>115</v>
      </c>
      <c r="B14" s="89"/>
      <c r="C14" s="52"/>
      <c r="D14" s="52"/>
      <c r="E14" s="44"/>
      <c r="F14" s="44"/>
      <c r="G14" s="44"/>
      <c r="H14" s="90"/>
      <c r="I14" s="90"/>
      <c r="J14" s="98"/>
      <c r="K14" s="44"/>
      <c r="L14" s="91">
        <f t="shared" si="0"/>
        <v>0</v>
      </c>
      <c r="M14" s="125" t="e">
        <f>ROUND(#REF!+(F14-(F14/2))+(E14*0.1),1)</f>
        <v>#REF!</v>
      </c>
      <c r="N14" s="125" t="e">
        <f>ROUND(#REF!+#REF!,1)</f>
        <v>#REF!</v>
      </c>
      <c r="O14" s="93" t="e">
        <f>#REF!/#REF!</f>
        <v>#REF!</v>
      </c>
      <c r="P14" s="94" t="e">
        <f t="shared" si="2"/>
        <v>#REF!</v>
      </c>
      <c r="Q14" s="95">
        <f t="shared" si="1"/>
        <v>0</v>
      </c>
      <c r="R14" s="85"/>
      <c r="S14" s="85"/>
    </row>
    <row r="15" spans="1:72" s="105" customFormat="1" hidden="1">
      <c r="A15" s="119" t="s">
        <v>16</v>
      </c>
      <c r="B15" s="102">
        <f t="shared" ref="B15:Q15" si="3">SUM(B4:B14)</f>
        <v>0</v>
      </c>
      <c r="C15" s="103">
        <f t="shared" si="3"/>
        <v>0</v>
      </c>
      <c r="D15" s="103">
        <f t="shared" si="3"/>
        <v>0</v>
      </c>
      <c r="E15" s="103">
        <f t="shared" si="3"/>
        <v>0</v>
      </c>
      <c r="F15" s="103">
        <f t="shared" si="3"/>
        <v>0</v>
      </c>
      <c r="G15" s="103">
        <f t="shared" si="3"/>
        <v>0</v>
      </c>
      <c r="H15" s="103">
        <f t="shared" si="3"/>
        <v>0</v>
      </c>
      <c r="I15" s="103">
        <f t="shared" si="3"/>
        <v>0</v>
      </c>
      <c r="J15" s="103">
        <f t="shared" si="3"/>
        <v>0</v>
      </c>
      <c r="K15" s="103">
        <f t="shared" si="3"/>
        <v>0</v>
      </c>
      <c r="L15" s="103">
        <f t="shared" si="3"/>
        <v>0</v>
      </c>
      <c r="M15" s="103" t="e">
        <f t="shared" si="3"/>
        <v>#REF!</v>
      </c>
      <c r="N15" s="103" t="e">
        <f t="shared" si="3"/>
        <v>#REF!</v>
      </c>
      <c r="O15" s="103" t="e">
        <f t="shared" si="3"/>
        <v>#REF!</v>
      </c>
      <c r="P15" s="103" t="e">
        <f t="shared" si="3"/>
        <v>#REF!</v>
      </c>
      <c r="Q15" s="104">
        <f t="shared" si="3"/>
        <v>0</v>
      </c>
      <c r="R15" s="85"/>
      <c r="S15" s="85"/>
      <c r="T15" s="80"/>
      <c r="U15" s="80"/>
      <c r="V15" s="80"/>
      <c r="W15" s="87"/>
      <c r="X15" s="87"/>
      <c r="Y15" s="87"/>
      <c r="Z15" s="87"/>
      <c r="AA15" s="87"/>
      <c r="AB15" s="87"/>
      <c r="AC15" s="87"/>
      <c r="AD15" s="87"/>
      <c r="AE15" s="87"/>
      <c r="AF15" s="87"/>
      <c r="AG15" s="87"/>
      <c r="AH15" s="87"/>
      <c r="AI15" s="87"/>
      <c r="AJ15" s="87"/>
      <c r="AK15" s="87"/>
      <c r="AL15" s="87"/>
      <c r="AM15" s="87"/>
      <c r="AN15" s="87"/>
      <c r="AO15" s="87"/>
      <c r="AP15" s="87"/>
      <c r="AQ15" s="87"/>
      <c r="AR15" s="87"/>
      <c r="AS15" s="87"/>
      <c r="AT15" s="87"/>
      <c r="AU15" s="87"/>
      <c r="AV15" s="87"/>
      <c r="AW15" s="87"/>
      <c r="AX15" s="87"/>
      <c r="AY15" s="87"/>
      <c r="AZ15" s="87"/>
      <c r="BA15" s="87"/>
      <c r="BB15" s="87"/>
      <c r="BC15" s="87"/>
      <c r="BD15" s="87"/>
      <c r="BE15" s="87"/>
      <c r="BF15" s="87"/>
      <c r="BG15" s="87"/>
      <c r="BH15" s="87"/>
      <c r="BI15" s="87"/>
      <c r="BJ15" s="87"/>
      <c r="BK15" s="87"/>
      <c r="BL15" s="87"/>
      <c r="BM15" s="87"/>
      <c r="BN15" s="87"/>
      <c r="BO15" s="87"/>
      <c r="BP15" s="87"/>
      <c r="BQ15" s="87"/>
      <c r="BR15" s="87"/>
      <c r="BS15" s="87"/>
      <c r="BT15" s="87"/>
    </row>
    <row r="16" spans="1:72" ht="15.75" hidden="1">
      <c r="A16" s="211" t="s">
        <v>265</v>
      </c>
      <c r="B16" s="212"/>
      <c r="C16" s="212"/>
      <c r="D16" s="212"/>
      <c r="E16" s="212"/>
      <c r="F16" s="212"/>
      <c r="G16" s="212"/>
      <c r="H16" s="212"/>
      <c r="I16" s="212"/>
      <c r="J16" s="212"/>
      <c r="K16" s="212"/>
      <c r="L16" s="212"/>
      <c r="M16" s="212"/>
      <c r="N16" s="212"/>
      <c r="O16" s="212"/>
      <c r="P16" s="213"/>
      <c r="Q16" s="95">
        <f t="shared" ref="Q16" si="4">SUM(C16:K16)</f>
        <v>0</v>
      </c>
      <c r="R16" s="85"/>
      <c r="S16" s="85"/>
    </row>
    <row r="17" spans="1:72" ht="18.75">
      <c r="A17" s="7" t="s">
        <v>66</v>
      </c>
      <c r="B17" s="89">
        <v>155</v>
      </c>
      <c r="C17" s="51">
        <v>798.9</v>
      </c>
      <c r="D17" s="51">
        <v>241.3</v>
      </c>
      <c r="E17" s="42">
        <v>121.9</v>
      </c>
      <c r="F17" s="42">
        <v>53.8</v>
      </c>
      <c r="G17" s="42">
        <v>23.1</v>
      </c>
      <c r="H17" s="64"/>
      <c r="I17" s="64"/>
      <c r="J17" s="42">
        <v>26.6</v>
      </c>
      <c r="K17" s="42">
        <v>1366.8</v>
      </c>
      <c r="L17" s="123">
        <f t="shared" ref="L17:L48" si="5">ROUND(C17+D17+H17+J17+K17+F17+G17+E17,1)</f>
        <v>2632.4</v>
      </c>
      <c r="M17" s="42">
        <v>10.8</v>
      </c>
      <c r="N17" s="39">
        <f>E17+F17+G17+H17+I17</f>
        <v>198.79999999999998</v>
      </c>
      <c r="O17" s="42">
        <v>26.6</v>
      </c>
      <c r="P17" s="92">
        <f>N17+O17</f>
        <v>225.39999999999998</v>
      </c>
      <c r="Q17" s="39">
        <f t="shared" ref="Q17:Q48" si="6">ROUND(L17/B17,3)</f>
        <v>16.983000000000001</v>
      </c>
      <c r="R17" s="144">
        <f t="shared" ref="R17:R48" si="7">P17/B17</f>
        <v>1.4541935483870967</v>
      </c>
      <c r="S17" s="128">
        <f t="shared" ref="S17:S80" si="8">Q17/20.585</f>
        <v>0.82501821714840906</v>
      </c>
      <c r="T17" s="145">
        <f>L17+M17</f>
        <v>2643.2000000000003</v>
      </c>
    </row>
    <row r="18" spans="1:72" s="107" customFormat="1" ht="18.75">
      <c r="A18" s="120">
        <v>16</v>
      </c>
      <c r="B18" s="106">
        <v>82</v>
      </c>
      <c r="C18" s="52">
        <v>798.9</v>
      </c>
      <c r="D18" s="52">
        <v>241.3</v>
      </c>
      <c r="E18" s="42">
        <v>176.8</v>
      </c>
      <c r="F18" s="42">
        <v>26.8</v>
      </c>
      <c r="G18" s="42">
        <v>16.7</v>
      </c>
      <c r="H18" s="66"/>
      <c r="I18" s="66"/>
      <c r="J18" s="42">
        <v>26.6</v>
      </c>
      <c r="K18" s="42">
        <v>1258.4000000000001</v>
      </c>
      <c r="L18" s="123">
        <f t="shared" si="5"/>
        <v>2545.5</v>
      </c>
      <c r="M18" s="42">
        <v>10.9</v>
      </c>
      <c r="N18" s="39">
        <f t="shared" ref="N18:N81" si="9">E18+F18+G18+H18+I18</f>
        <v>220.3</v>
      </c>
      <c r="O18" s="42">
        <v>26.6</v>
      </c>
      <c r="P18" s="92">
        <f t="shared" ref="P18:P81" si="10">N18+O18</f>
        <v>246.9</v>
      </c>
      <c r="Q18" s="39">
        <f t="shared" si="6"/>
        <v>31.042999999999999</v>
      </c>
      <c r="R18" s="144">
        <f t="shared" si="7"/>
        <v>3.0109756097560978</v>
      </c>
      <c r="S18" s="128">
        <f t="shared" si="8"/>
        <v>1.5080398348311876</v>
      </c>
      <c r="T18" s="145">
        <f t="shared" ref="T18:T81" si="11">L18+M18</f>
        <v>2556.4</v>
      </c>
      <c r="U18" s="80"/>
      <c r="V18" s="80"/>
      <c r="W18" s="87"/>
      <c r="X18" s="87"/>
      <c r="Y18" s="87"/>
      <c r="Z18" s="87"/>
      <c r="AA18" s="87"/>
      <c r="AB18" s="87"/>
      <c r="AC18" s="87"/>
      <c r="AD18" s="87"/>
      <c r="AE18" s="87"/>
      <c r="AF18" s="87"/>
      <c r="AG18" s="87"/>
      <c r="AH18" s="87"/>
      <c r="AI18" s="87"/>
      <c r="AJ18" s="87"/>
      <c r="AK18" s="87"/>
      <c r="AL18" s="87"/>
      <c r="AM18" s="87"/>
      <c r="AN18" s="87"/>
      <c r="AO18" s="87"/>
      <c r="AP18" s="87"/>
      <c r="AQ18" s="87"/>
      <c r="AR18" s="87"/>
      <c r="AS18" s="87"/>
      <c r="AT18" s="87"/>
      <c r="AU18" s="87"/>
      <c r="AV18" s="87"/>
      <c r="AW18" s="87"/>
      <c r="AX18" s="87"/>
      <c r="AY18" s="87"/>
      <c r="AZ18" s="87"/>
      <c r="BA18" s="87"/>
      <c r="BB18" s="87"/>
      <c r="BC18" s="87"/>
      <c r="BD18" s="87"/>
      <c r="BE18" s="87"/>
      <c r="BF18" s="87"/>
      <c r="BG18" s="87"/>
      <c r="BH18" s="87"/>
      <c r="BI18" s="87"/>
      <c r="BJ18" s="87"/>
      <c r="BK18" s="87"/>
      <c r="BL18" s="87"/>
      <c r="BM18" s="87"/>
      <c r="BN18" s="87"/>
      <c r="BO18" s="87"/>
      <c r="BP18" s="87"/>
      <c r="BQ18" s="87"/>
      <c r="BR18" s="87"/>
      <c r="BS18" s="87"/>
      <c r="BT18" s="87"/>
    </row>
    <row r="19" spans="1:72" ht="18.75">
      <c r="A19" s="7" t="s">
        <v>67</v>
      </c>
      <c r="B19" s="89">
        <v>123</v>
      </c>
      <c r="C19" s="51">
        <v>697.7</v>
      </c>
      <c r="D19" s="51">
        <v>210.7</v>
      </c>
      <c r="E19" s="42">
        <v>165.1</v>
      </c>
      <c r="F19" s="42">
        <v>20.8</v>
      </c>
      <c r="G19" s="42">
        <v>24.2</v>
      </c>
      <c r="H19" s="64"/>
      <c r="I19" s="64"/>
      <c r="J19" s="42">
        <v>22.4</v>
      </c>
      <c r="K19" s="42">
        <v>1100.2</v>
      </c>
      <c r="L19" s="123">
        <f t="shared" si="5"/>
        <v>2241.1</v>
      </c>
      <c r="M19" s="42">
        <v>5.9</v>
      </c>
      <c r="N19" s="39">
        <f t="shared" si="9"/>
        <v>210.1</v>
      </c>
      <c r="O19" s="42">
        <v>22.4</v>
      </c>
      <c r="P19" s="92">
        <f t="shared" si="10"/>
        <v>232.5</v>
      </c>
      <c r="Q19" s="39">
        <f t="shared" si="6"/>
        <v>18.22</v>
      </c>
      <c r="R19" s="144">
        <f t="shared" si="7"/>
        <v>1.8902439024390243</v>
      </c>
      <c r="S19" s="128">
        <f t="shared" si="8"/>
        <v>0.88511051736701474</v>
      </c>
      <c r="T19" s="145">
        <f t="shared" si="11"/>
        <v>2247</v>
      </c>
    </row>
    <row r="20" spans="1:72" ht="18.75">
      <c r="A20" s="7" t="s">
        <v>68</v>
      </c>
      <c r="B20" s="89">
        <v>183</v>
      </c>
      <c r="C20" s="51">
        <v>874.7</v>
      </c>
      <c r="D20" s="51">
        <v>264.2</v>
      </c>
      <c r="E20" s="42">
        <v>123.8</v>
      </c>
      <c r="F20" s="42">
        <v>24.5</v>
      </c>
      <c r="G20" s="42">
        <v>18.399999999999999</v>
      </c>
      <c r="H20" s="42">
        <v>0</v>
      </c>
      <c r="I20" s="64"/>
      <c r="J20" s="42">
        <v>26.6</v>
      </c>
      <c r="K20" s="42">
        <v>1710.8</v>
      </c>
      <c r="L20" s="123">
        <f t="shared" si="5"/>
        <v>3043</v>
      </c>
      <c r="M20" s="42">
        <v>8.4</v>
      </c>
      <c r="N20" s="39">
        <f t="shared" si="9"/>
        <v>166.70000000000002</v>
      </c>
      <c r="O20" s="42">
        <v>26.6</v>
      </c>
      <c r="P20" s="92">
        <f t="shared" si="10"/>
        <v>193.3</v>
      </c>
      <c r="Q20" s="39">
        <f t="shared" si="6"/>
        <v>16.628</v>
      </c>
      <c r="R20" s="144">
        <f t="shared" si="7"/>
        <v>1.0562841530054645</v>
      </c>
      <c r="S20" s="128">
        <f t="shared" si="8"/>
        <v>0.80777264998785525</v>
      </c>
      <c r="T20" s="145">
        <f t="shared" si="11"/>
        <v>3051.4</v>
      </c>
    </row>
    <row r="21" spans="1:72" ht="18.75">
      <c r="A21" s="7" t="s">
        <v>69</v>
      </c>
      <c r="B21" s="89">
        <v>173</v>
      </c>
      <c r="C21" s="51">
        <v>798.9</v>
      </c>
      <c r="D21" s="51">
        <v>241.3</v>
      </c>
      <c r="E21" s="42">
        <v>167</v>
      </c>
      <c r="F21" s="42">
        <v>33.5</v>
      </c>
      <c r="G21" s="42">
        <v>14.2</v>
      </c>
      <c r="H21" s="64"/>
      <c r="I21" s="64"/>
      <c r="J21" s="42">
        <v>26.6</v>
      </c>
      <c r="K21" s="42">
        <v>1547.6</v>
      </c>
      <c r="L21" s="123">
        <f t="shared" si="5"/>
        <v>2829.1</v>
      </c>
      <c r="M21" s="42">
        <v>7.3</v>
      </c>
      <c r="N21" s="39">
        <f t="shared" si="9"/>
        <v>214.7</v>
      </c>
      <c r="O21" s="42">
        <v>26.6</v>
      </c>
      <c r="P21" s="92">
        <f t="shared" si="10"/>
        <v>241.29999999999998</v>
      </c>
      <c r="Q21" s="39">
        <f t="shared" si="6"/>
        <v>16.353000000000002</v>
      </c>
      <c r="R21" s="144">
        <f t="shared" si="7"/>
        <v>1.3947976878612716</v>
      </c>
      <c r="S21" s="128">
        <f t="shared" si="8"/>
        <v>0.79441340782122905</v>
      </c>
      <c r="T21" s="145">
        <f t="shared" si="11"/>
        <v>2836.4</v>
      </c>
    </row>
    <row r="22" spans="1:72" ht="18.75">
      <c r="A22" s="7" t="s">
        <v>70</v>
      </c>
      <c r="B22" s="89">
        <v>207</v>
      </c>
      <c r="C22" s="51">
        <v>849.4</v>
      </c>
      <c r="D22" s="51">
        <v>256.5</v>
      </c>
      <c r="E22" s="42">
        <v>135.6</v>
      </c>
      <c r="F22" s="42">
        <v>37.6</v>
      </c>
      <c r="G22" s="42">
        <v>16.8</v>
      </c>
      <c r="H22" s="64"/>
      <c r="I22" s="64"/>
      <c r="J22" s="42">
        <v>26.6</v>
      </c>
      <c r="K22" s="42">
        <v>1922.3</v>
      </c>
      <c r="L22" s="123">
        <f t="shared" si="5"/>
        <v>3244.8</v>
      </c>
      <c r="M22" s="42">
        <v>10.1</v>
      </c>
      <c r="N22" s="39">
        <f t="shared" si="9"/>
        <v>190</v>
      </c>
      <c r="O22" s="42">
        <v>26.6</v>
      </c>
      <c r="P22" s="92">
        <f t="shared" si="10"/>
        <v>216.6</v>
      </c>
      <c r="Q22" s="39">
        <f t="shared" si="6"/>
        <v>15.675000000000001</v>
      </c>
      <c r="R22" s="144">
        <f t="shared" si="7"/>
        <v>1.0463768115942029</v>
      </c>
      <c r="S22" s="128">
        <f t="shared" si="8"/>
        <v>0.76147680349769253</v>
      </c>
      <c r="T22" s="145">
        <f t="shared" si="11"/>
        <v>3254.9</v>
      </c>
    </row>
    <row r="23" spans="1:72" ht="18.75">
      <c r="A23" s="7" t="s">
        <v>71</v>
      </c>
      <c r="B23" s="89">
        <v>203</v>
      </c>
      <c r="C23" s="51">
        <v>849.4</v>
      </c>
      <c r="D23" s="51">
        <v>256.5</v>
      </c>
      <c r="E23" s="42">
        <v>216.2</v>
      </c>
      <c r="F23" s="42">
        <v>41.7</v>
      </c>
      <c r="G23" s="42">
        <v>18.899999999999999</v>
      </c>
      <c r="H23" s="64"/>
      <c r="I23" s="64"/>
      <c r="J23" s="42">
        <v>26.6</v>
      </c>
      <c r="K23" s="42">
        <v>1905</v>
      </c>
      <c r="L23" s="123">
        <f t="shared" si="5"/>
        <v>3314.3</v>
      </c>
      <c r="M23" s="42">
        <v>8.8000000000000007</v>
      </c>
      <c r="N23" s="39">
        <f t="shared" si="9"/>
        <v>276.79999999999995</v>
      </c>
      <c r="O23" s="42">
        <v>26.6</v>
      </c>
      <c r="P23" s="92">
        <f t="shared" si="10"/>
        <v>303.39999999999998</v>
      </c>
      <c r="Q23" s="39">
        <f t="shared" si="6"/>
        <v>16.327000000000002</v>
      </c>
      <c r="R23" s="144">
        <f t="shared" si="7"/>
        <v>1.4945812807881773</v>
      </c>
      <c r="S23" s="128">
        <f t="shared" si="8"/>
        <v>0.79315035219820262</v>
      </c>
      <c r="T23" s="145">
        <f t="shared" si="11"/>
        <v>3323.1000000000004</v>
      </c>
    </row>
    <row r="24" spans="1:72" ht="18.75">
      <c r="A24" s="7" t="s">
        <v>72</v>
      </c>
      <c r="B24" s="89">
        <v>188</v>
      </c>
      <c r="C24" s="51">
        <v>849.4</v>
      </c>
      <c r="D24" s="51">
        <v>256.5</v>
      </c>
      <c r="E24" s="42">
        <v>180.8</v>
      </c>
      <c r="F24" s="42">
        <v>33.4</v>
      </c>
      <c r="G24" s="42">
        <v>20</v>
      </c>
      <c r="H24" s="64"/>
      <c r="I24" s="64"/>
      <c r="J24" s="42">
        <v>26.6</v>
      </c>
      <c r="K24" s="42">
        <v>1796</v>
      </c>
      <c r="L24" s="123">
        <f t="shared" si="5"/>
        <v>3162.7</v>
      </c>
      <c r="M24" s="42">
        <v>9.3000000000000007</v>
      </c>
      <c r="N24" s="39">
        <f t="shared" si="9"/>
        <v>234.20000000000002</v>
      </c>
      <c r="O24" s="42">
        <v>26.6</v>
      </c>
      <c r="P24" s="92">
        <f t="shared" si="10"/>
        <v>260.8</v>
      </c>
      <c r="Q24" s="39">
        <f t="shared" si="6"/>
        <v>16.823</v>
      </c>
      <c r="R24" s="144">
        <f t="shared" si="7"/>
        <v>1.3872340425531915</v>
      </c>
      <c r="S24" s="128">
        <f t="shared" si="8"/>
        <v>0.81724556716055374</v>
      </c>
      <c r="T24" s="145">
        <f t="shared" si="11"/>
        <v>3172</v>
      </c>
    </row>
    <row r="25" spans="1:72" ht="18.75">
      <c r="A25" s="7" t="s">
        <v>73</v>
      </c>
      <c r="B25" s="89">
        <v>180</v>
      </c>
      <c r="C25" s="51">
        <v>798.9</v>
      </c>
      <c r="D25" s="51">
        <v>241.3</v>
      </c>
      <c r="E25" s="42">
        <v>208.3</v>
      </c>
      <c r="F25" s="42">
        <v>34.700000000000003</v>
      </c>
      <c r="G25" s="42">
        <v>17.899999999999999</v>
      </c>
      <c r="H25" s="64"/>
      <c r="I25" s="64"/>
      <c r="J25" s="42">
        <v>26.6</v>
      </c>
      <c r="K25" s="42">
        <v>1535.1</v>
      </c>
      <c r="L25" s="123">
        <f t="shared" si="5"/>
        <v>2862.8</v>
      </c>
      <c r="M25" s="42">
        <v>13.4</v>
      </c>
      <c r="N25" s="39">
        <f t="shared" si="9"/>
        <v>260.89999999999998</v>
      </c>
      <c r="O25" s="42">
        <v>26.6</v>
      </c>
      <c r="P25" s="92">
        <f t="shared" si="10"/>
        <v>287.5</v>
      </c>
      <c r="Q25" s="39">
        <f t="shared" si="6"/>
        <v>15.904</v>
      </c>
      <c r="R25" s="144">
        <f t="shared" si="7"/>
        <v>1.5972222222222223</v>
      </c>
      <c r="S25" s="128">
        <f t="shared" si="8"/>
        <v>0.77260140879281025</v>
      </c>
      <c r="T25" s="145">
        <f t="shared" si="11"/>
        <v>2876.2000000000003</v>
      </c>
    </row>
    <row r="26" spans="1:72" s="107" customFormat="1" ht="18.75">
      <c r="A26" s="120">
        <v>75</v>
      </c>
      <c r="B26" s="106">
        <v>93</v>
      </c>
      <c r="C26" s="52">
        <v>798.9</v>
      </c>
      <c r="D26" s="52">
        <v>241.3</v>
      </c>
      <c r="E26" s="42">
        <v>176.8</v>
      </c>
      <c r="F26" s="42">
        <v>35.6</v>
      </c>
      <c r="G26" s="42">
        <v>15.4</v>
      </c>
      <c r="H26" s="66"/>
      <c r="I26" s="66"/>
      <c r="J26" s="42">
        <v>26.6</v>
      </c>
      <c r="K26" s="42">
        <v>938.1</v>
      </c>
      <c r="L26" s="123">
        <f t="shared" si="5"/>
        <v>2232.6999999999998</v>
      </c>
      <c r="M26" s="42">
        <v>10.199999999999999</v>
      </c>
      <c r="N26" s="39">
        <f t="shared" si="9"/>
        <v>227.8</v>
      </c>
      <c r="O26" s="42">
        <v>26.6</v>
      </c>
      <c r="P26" s="92">
        <f t="shared" si="10"/>
        <v>254.4</v>
      </c>
      <c r="Q26" s="39">
        <f t="shared" si="6"/>
        <v>24.007999999999999</v>
      </c>
      <c r="R26" s="144">
        <f t="shared" si="7"/>
        <v>2.7354838709677418</v>
      </c>
      <c r="S26" s="128">
        <f t="shared" si="8"/>
        <v>1.1662861306776777</v>
      </c>
      <c r="T26" s="145">
        <f t="shared" si="11"/>
        <v>2242.8999999999996</v>
      </c>
      <c r="U26" s="80"/>
      <c r="V26" s="80"/>
      <c r="W26" s="87"/>
      <c r="X26" s="87"/>
      <c r="Y26" s="87"/>
      <c r="Z26" s="87"/>
      <c r="AA26" s="87"/>
      <c r="AB26" s="87"/>
      <c r="AC26" s="87"/>
      <c r="AD26" s="87"/>
      <c r="AE26" s="87"/>
      <c r="AF26" s="87"/>
      <c r="AG26" s="87"/>
      <c r="AH26" s="87"/>
      <c r="AI26" s="87"/>
      <c r="AJ26" s="87"/>
      <c r="AK26" s="87"/>
      <c r="AL26" s="87"/>
      <c r="AM26" s="87"/>
      <c r="AN26" s="87"/>
      <c r="AO26" s="87"/>
      <c r="AP26" s="87"/>
      <c r="AQ26" s="87"/>
      <c r="AR26" s="87"/>
      <c r="AS26" s="87"/>
      <c r="AT26" s="87"/>
      <c r="AU26" s="87"/>
      <c r="AV26" s="87"/>
      <c r="AW26" s="87"/>
      <c r="AX26" s="87"/>
      <c r="AY26" s="87"/>
      <c r="AZ26" s="87"/>
      <c r="BA26" s="87"/>
      <c r="BB26" s="87"/>
      <c r="BC26" s="87"/>
      <c r="BD26" s="87"/>
      <c r="BE26" s="87"/>
      <c r="BF26" s="87"/>
      <c r="BG26" s="87"/>
      <c r="BH26" s="87"/>
      <c r="BI26" s="87"/>
      <c r="BJ26" s="87"/>
      <c r="BK26" s="87"/>
      <c r="BL26" s="87"/>
      <c r="BM26" s="87"/>
      <c r="BN26" s="87"/>
      <c r="BO26" s="87"/>
      <c r="BP26" s="87"/>
      <c r="BQ26" s="87"/>
      <c r="BR26" s="87"/>
      <c r="BS26" s="87"/>
      <c r="BT26" s="87"/>
    </row>
    <row r="27" spans="1:72" s="107" customFormat="1" ht="18.75">
      <c r="A27" s="120">
        <v>80</v>
      </c>
      <c r="B27" s="106">
        <v>360</v>
      </c>
      <c r="C27" s="52">
        <v>1648.4</v>
      </c>
      <c r="D27" s="52">
        <v>497.8</v>
      </c>
      <c r="E27" s="42">
        <v>399.2</v>
      </c>
      <c r="F27" s="42">
        <v>101.1</v>
      </c>
      <c r="G27" s="42">
        <v>32.799999999999997</v>
      </c>
      <c r="H27" s="66"/>
      <c r="I27" s="66"/>
      <c r="J27" s="42">
        <v>41.3</v>
      </c>
      <c r="K27" s="42">
        <v>3359.2</v>
      </c>
      <c r="L27" s="123">
        <f t="shared" si="5"/>
        <v>6079.8</v>
      </c>
      <c r="M27" s="42">
        <v>10.8</v>
      </c>
      <c r="N27" s="39">
        <f t="shared" si="9"/>
        <v>533.09999999999991</v>
      </c>
      <c r="O27" s="42">
        <v>41.3</v>
      </c>
      <c r="P27" s="92">
        <f t="shared" si="10"/>
        <v>574.39999999999986</v>
      </c>
      <c r="Q27" s="39">
        <f t="shared" si="6"/>
        <v>16.888000000000002</v>
      </c>
      <c r="R27" s="144">
        <f t="shared" si="7"/>
        <v>1.5955555555555552</v>
      </c>
      <c r="S27" s="128">
        <f t="shared" si="8"/>
        <v>0.82040320621812002</v>
      </c>
      <c r="T27" s="145">
        <f t="shared" si="11"/>
        <v>6090.6</v>
      </c>
      <c r="U27" s="80"/>
      <c r="V27" s="80"/>
      <c r="W27" s="87"/>
      <c r="X27" s="87"/>
      <c r="Y27" s="87"/>
      <c r="Z27" s="87"/>
      <c r="AA27" s="87"/>
      <c r="AB27" s="87"/>
      <c r="AC27" s="87"/>
      <c r="AD27" s="87"/>
      <c r="AE27" s="87"/>
      <c r="AF27" s="87"/>
      <c r="AG27" s="87"/>
      <c r="AH27" s="87"/>
      <c r="AI27" s="87"/>
      <c r="AJ27" s="87"/>
      <c r="AK27" s="87"/>
      <c r="AL27" s="87"/>
      <c r="AM27" s="87"/>
      <c r="AN27" s="87"/>
      <c r="AO27" s="87"/>
      <c r="AP27" s="87"/>
      <c r="AQ27" s="87"/>
      <c r="AR27" s="87"/>
      <c r="AS27" s="87"/>
      <c r="AT27" s="87"/>
      <c r="AU27" s="87"/>
      <c r="AV27" s="87"/>
      <c r="AW27" s="87"/>
      <c r="AX27" s="87"/>
      <c r="AY27" s="87"/>
      <c r="AZ27" s="87"/>
      <c r="BA27" s="87"/>
      <c r="BB27" s="87"/>
      <c r="BC27" s="87"/>
      <c r="BD27" s="87"/>
      <c r="BE27" s="87"/>
      <c r="BF27" s="87"/>
      <c r="BG27" s="87"/>
      <c r="BH27" s="87"/>
      <c r="BI27" s="87"/>
      <c r="BJ27" s="87"/>
      <c r="BK27" s="87"/>
      <c r="BL27" s="87"/>
      <c r="BM27" s="87"/>
      <c r="BN27" s="87"/>
      <c r="BO27" s="87"/>
      <c r="BP27" s="87"/>
      <c r="BQ27" s="87"/>
      <c r="BR27" s="87"/>
      <c r="BS27" s="87"/>
      <c r="BT27" s="87"/>
    </row>
    <row r="28" spans="1:72" ht="18.75">
      <c r="A28" s="7" t="s">
        <v>74</v>
      </c>
      <c r="B28" s="89">
        <v>166</v>
      </c>
      <c r="C28" s="51">
        <v>798.9</v>
      </c>
      <c r="D28" s="51">
        <v>241.3</v>
      </c>
      <c r="E28" s="42">
        <v>238.3</v>
      </c>
      <c r="F28" s="42">
        <v>34.799999999999997</v>
      </c>
      <c r="G28" s="42">
        <v>14.8</v>
      </c>
      <c r="H28" s="64"/>
      <c r="I28" s="64"/>
      <c r="J28" s="42">
        <v>25.9</v>
      </c>
      <c r="K28" s="42">
        <v>1419.9</v>
      </c>
      <c r="L28" s="123">
        <f t="shared" si="5"/>
        <v>2773.9</v>
      </c>
      <c r="M28" s="42">
        <v>9.6</v>
      </c>
      <c r="N28" s="39">
        <f t="shared" si="9"/>
        <v>287.90000000000003</v>
      </c>
      <c r="O28" s="42">
        <v>25.9</v>
      </c>
      <c r="P28" s="92">
        <f t="shared" si="10"/>
        <v>313.8</v>
      </c>
      <c r="Q28" s="39">
        <f t="shared" si="6"/>
        <v>16.71</v>
      </c>
      <c r="R28" s="144">
        <f t="shared" si="7"/>
        <v>1.8903614457831326</v>
      </c>
      <c r="S28" s="128">
        <f t="shared" si="8"/>
        <v>0.81175613310663108</v>
      </c>
      <c r="T28" s="145">
        <f t="shared" si="11"/>
        <v>2783.5</v>
      </c>
    </row>
    <row r="29" spans="1:72" s="107" customFormat="1" ht="18.75">
      <c r="A29" s="120">
        <v>85</v>
      </c>
      <c r="B29" s="106">
        <v>87</v>
      </c>
      <c r="C29" s="52">
        <v>798.9</v>
      </c>
      <c r="D29" s="52">
        <v>241.3</v>
      </c>
      <c r="E29" s="42">
        <v>165.1</v>
      </c>
      <c r="F29" s="42">
        <v>35.9</v>
      </c>
      <c r="G29" s="42">
        <v>12.2</v>
      </c>
      <c r="H29" s="66"/>
      <c r="I29" s="66"/>
      <c r="J29" s="42">
        <v>26.6</v>
      </c>
      <c r="K29" s="42">
        <v>1061.4000000000001</v>
      </c>
      <c r="L29" s="123">
        <f t="shared" si="5"/>
        <v>2341.4</v>
      </c>
      <c r="M29" s="42">
        <v>11.7</v>
      </c>
      <c r="N29" s="39">
        <f t="shared" si="9"/>
        <v>213.2</v>
      </c>
      <c r="O29" s="42">
        <v>26.6</v>
      </c>
      <c r="P29" s="92">
        <f t="shared" si="10"/>
        <v>239.79999999999998</v>
      </c>
      <c r="Q29" s="39">
        <f t="shared" si="6"/>
        <v>26.913</v>
      </c>
      <c r="R29" s="144">
        <f t="shared" si="7"/>
        <v>2.7563218390804596</v>
      </c>
      <c r="S29" s="128">
        <f t="shared" si="8"/>
        <v>1.3074083070196745</v>
      </c>
      <c r="T29" s="145">
        <f t="shared" si="11"/>
        <v>2353.1</v>
      </c>
      <c r="U29" s="80"/>
      <c r="V29" s="80"/>
      <c r="W29" s="87"/>
      <c r="X29" s="87"/>
      <c r="Y29" s="87"/>
      <c r="Z29" s="87"/>
      <c r="AA29" s="87"/>
      <c r="AB29" s="87"/>
      <c r="AC29" s="87"/>
      <c r="AD29" s="87"/>
      <c r="AE29" s="87"/>
      <c r="AF29" s="87"/>
      <c r="AG29" s="87"/>
      <c r="AH29" s="87"/>
      <c r="AI29" s="87"/>
      <c r="AJ29" s="87"/>
      <c r="AK29" s="87"/>
      <c r="AL29" s="87"/>
      <c r="AM29" s="87"/>
      <c r="AN29" s="87"/>
      <c r="AO29" s="87"/>
      <c r="AP29" s="87"/>
      <c r="AQ29" s="87"/>
      <c r="AR29" s="87"/>
      <c r="AS29" s="87"/>
      <c r="AT29" s="87"/>
      <c r="AU29" s="87"/>
      <c r="AV29" s="87"/>
      <c r="AW29" s="87"/>
      <c r="AX29" s="87"/>
      <c r="AY29" s="87"/>
      <c r="AZ29" s="87"/>
      <c r="BA29" s="87"/>
      <c r="BB29" s="87"/>
      <c r="BC29" s="87"/>
      <c r="BD29" s="87"/>
      <c r="BE29" s="87"/>
      <c r="BF29" s="87"/>
      <c r="BG29" s="87"/>
      <c r="BH29" s="87"/>
      <c r="BI29" s="87"/>
      <c r="BJ29" s="87"/>
      <c r="BK29" s="87"/>
      <c r="BL29" s="87"/>
      <c r="BM29" s="87"/>
      <c r="BN29" s="87"/>
      <c r="BO29" s="87"/>
      <c r="BP29" s="87"/>
      <c r="BQ29" s="87"/>
      <c r="BR29" s="87"/>
      <c r="BS29" s="87"/>
      <c r="BT29" s="87"/>
    </row>
    <row r="30" spans="1:72" s="107" customFormat="1" ht="18.75">
      <c r="A30" s="120">
        <v>104</v>
      </c>
      <c r="B30" s="106">
        <v>270</v>
      </c>
      <c r="C30" s="52">
        <v>1102.0999999999999</v>
      </c>
      <c r="D30" s="52">
        <v>332.8</v>
      </c>
      <c r="E30" s="42">
        <v>267.2</v>
      </c>
      <c r="F30" s="42">
        <v>160.30000000000001</v>
      </c>
      <c r="G30" s="42">
        <v>37.200000000000003</v>
      </c>
      <c r="H30" s="66"/>
      <c r="I30" s="66"/>
      <c r="J30" s="42">
        <v>30.6</v>
      </c>
      <c r="K30" s="42">
        <v>2444.5</v>
      </c>
      <c r="L30" s="123">
        <f t="shared" si="5"/>
        <v>4374.7</v>
      </c>
      <c r="M30" s="42">
        <v>19.899999999999999</v>
      </c>
      <c r="N30" s="39">
        <f t="shared" si="9"/>
        <v>464.7</v>
      </c>
      <c r="O30" s="42">
        <v>30.6</v>
      </c>
      <c r="P30" s="92">
        <f t="shared" si="10"/>
        <v>495.3</v>
      </c>
      <c r="Q30" s="39">
        <f t="shared" si="6"/>
        <v>16.202999999999999</v>
      </c>
      <c r="R30" s="144">
        <f t="shared" si="7"/>
        <v>1.8344444444444445</v>
      </c>
      <c r="S30" s="128">
        <f t="shared" si="8"/>
        <v>0.78712654845761476</v>
      </c>
      <c r="T30" s="145">
        <f t="shared" si="11"/>
        <v>4394.5999999999995</v>
      </c>
      <c r="U30" s="80"/>
      <c r="V30" s="80"/>
      <c r="W30" s="87"/>
      <c r="X30" s="87"/>
      <c r="Y30" s="87"/>
      <c r="Z30" s="87"/>
      <c r="AA30" s="87"/>
      <c r="AB30" s="87"/>
      <c r="AC30" s="87"/>
      <c r="AD30" s="87"/>
      <c r="AE30" s="87"/>
      <c r="AF30" s="87"/>
      <c r="AG30" s="87"/>
      <c r="AH30" s="87"/>
      <c r="AI30" s="87"/>
      <c r="AJ30" s="87"/>
      <c r="AK30" s="87"/>
      <c r="AL30" s="87"/>
      <c r="AM30" s="87"/>
      <c r="AN30" s="87"/>
      <c r="AO30" s="87"/>
      <c r="AP30" s="87"/>
      <c r="AQ30" s="87"/>
      <c r="AR30" s="87"/>
      <c r="AS30" s="87"/>
      <c r="AT30" s="87"/>
      <c r="AU30" s="87"/>
      <c r="AV30" s="87"/>
      <c r="AW30" s="87"/>
      <c r="AX30" s="87"/>
      <c r="AY30" s="87"/>
      <c r="AZ30" s="87"/>
      <c r="BA30" s="87"/>
      <c r="BB30" s="87"/>
      <c r="BC30" s="87"/>
      <c r="BD30" s="87"/>
      <c r="BE30" s="87"/>
      <c r="BF30" s="87"/>
      <c r="BG30" s="87"/>
      <c r="BH30" s="87"/>
      <c r="BI30" s="87"/>
      <c r="BJ30" s="87"/>
      <c r="BK30" s="87"/>
      <c r="BL30" s="87"/>
      <c r="BM30" s="87"/>
      <c r="BN30" s="87"/>
      <c r="BO30" s="87"/>
      <c r="BP30" s="87"/>
      <c r="BQ30" s="87"/>
      <c r="BR30" s="87"/>
      <c r="BS30" s="87"/>
      <c r="BT30" s="87"/>
    </row>
    <row r="31" spans="1:72" s="107" customFormat="1" ht="18.75">
      <c r="A31" s="120">
        <v>106</v>
      </c>
      <c r="B31" s="106">
        <v>66</v>
      </c>
      <c r="C31" s="52">
        <v>748.3</v>
      </c>
      <c r="D31" s="52">
        <v>226</v>
      </c>
      <c r="E31" s="42">
        <v>131.69999999999999</v>
      </c>
      <c r="F31" s="42">
        <v>26</v>
      </c>
      <c r="G31" s="42">
        <v>11.1</v>
      </c>
      <c r="H31" s="66"/>
      <c r="I31" s="66"/>
      <c r="J31" s="42">
        <v>22.4</v>
      </c>
      <c r="K31" s="42">
        <v>652.5</v>
      </c>
      <c r="L31" s="123">
        <f t="shared" si="5"/>
        <v>1818</v>
      </c>
      <c r="M31" s="42">
        <v>6.6</v>
      </c>
      <c r="N31" s="39">
        <f t="shared" si="9"/>
        <v>168.79999999999998</v>
      </c>
      <c r="O31" s="42">
        <v>22.4</v>
      </c>
      <c r="P31" s="92">
        <f t="shared" si="10"/>
        <v>191.2</v>
      </c>
      <c r="Q31" s="39">
        <f t="shared" si="6"/>
        <v>27.545000000000002</v>
      </c>
      <c r="R31" s="144">
        <f t="shared" si="7"/>
        <v>2.896969696969697</v>
      </c>
      <c r="S31" s="128">
        <f t="shared" si="8"/>
        <v>1.3381102744717028</v>
      </c>
      <c r="T31" s="145">
        <f t="shared" si="11"/>
        <v>1824.6</v>
      </c>
      <c r="U31" s="80"/>
      <c r="V31" s="80"/>
      <c r="W31" s="87"/>
      <c r="X31" s="87"/>
      <c r="Y31" s="87"/>
      <c r="Z31" s="87"/>
      <c r="AA31" s="87"/>
      <c r="AB31" s="87"/>
      <c r="AC31" s="87"/>
      <c r="AD31" s="87"/>
      <c r="AE31" s="87"/>
      <c r="AF31" s="87"/>
      <c r="AG31" s="87"/>
      <c r="AH31" s="87"/>
      <c r="AI31" s="87"/>
      <c r="AJ31" s="87"/>
      <c r="AK31" s="87"/>
      <c r="AL31" s="87"/>
      <c r="AM31" s="87"/>
      <c r="AN31" s="87"/>
      <c r="AO31" s="87"/>
      <c r="AP31" s="87"/>
      <c r="AQ31" s="87"/>
      <c r="AR31" s="87"/>
      <c r="AS31" s="87"/>
      <c r="AT31" s="87"/>
      <c r="AU31" s="87"/>
      <c r="AV31" s="87"/>
      <c r="AW31" s="87"/>
      <c r="AX31" s="87"/>
      <c r="AY31" s="87"/>
      <c r="AZ31" s="87"/>
      <c r="BA31" s="87"/>
      <c r="BB31" s="87"/>
      <c r="BC31" s="87"/>
      <c r="BD31" s="87"/>
      <c r="BE31" s="87"/>
      <c r="BF31" s="87"/>
      <c r="BG31" s="87"/>
      <c r="BH31" s="87"/>
      <c r="BI31" s="87"/>
      <c r="BJ31" s="87"/>
      <c r="BK31" s="87"/>
      <c r="BL31" s="87"/>
      <c r="BM31" s="87"/>
      <c r="BN31" s="87"/>
      <c r="BO31" s="87"/>
      <c r="BP31" s="87"/>
      <c r="BQ31" s="87"/>
      <c r="BR31" s="87"/>
      <c r="BS31" s="87"/>
      <c r="BT31" s="87"/>
    </row>
    <row r="32" spans="1:72" ht="18.75">
      <c r="A32" s="7" t="s">
        <v>75</v>
      </c>
      <c r="B32" s="89">
        <v>308</v>
      </c>
      <c r="C32" s="51">
        <v>1597.7</v>
      </c>
      <c r="D32" s="51">
        <v>482.5</v>
      </c>
      <c r="E32" s="42">
        <v>322.3</v>
      </c>
      <c r="F32" s="42">
        <v>92.8</v>
      </c>
      <c r="G32" s="42">
        <v>35.299999999999997</v>
      </c>
      <c r="H32" s="64"/>
      <c r="I32" s="64"/>
      <c r="J32" s="42">
        <v>37.5</v>
      </c>
      <c r="K32" s="42">
        <v>2785.5</v>
      </c>
      <c r="L32" s="123">
        <f t="shared" si="5"/>
        <v>5353.6</v>
      </c>
      <c r="M32" s="42">
        <v>24</v>
      </c>
      <c r="N32" s="39">
        <f t="shared" si="9"/>
        <v>450.40000000000003</v>
      </c>
      <c r="O32" s="42">
        <v>37.5</v>
      </c>
      <c r="P32" s="92">
        <f t="shared" si="10"/>
        <v>487.90000000000003</v>
      </c>
      <c r="Q32" s="39">
        <f t="shared" si="6"/>
        <v>17.382000000000001</v>
      </c>
      <c r="R32" s="144">
        <f t="shared" si="7"/>
        <v>1.5840909090909092</v>
      </c>
      <c r="S32" s="128">
        <f t="shared" si="8"/>
        <v>0.84440126305562302</v>
      </c>
      <c r="T32" s="145">
        <f t="shared" si="11"/>
        <v>5377.6</v>
      </c>
    </row>
    <row r="33" spans="1:72" ht="18.75">
      <c r="A33" s="7" t="s">
        <v>76</v>
      </c>
      <c r="B33" s="89">
        <v>176</v>
      </c>
      <c r="C33" s="51">
        <v>798.9</v>
      </c>
      <c r="D33" s="51">
        <v>241.3</v>
      </c>
      <c r="E33" s="42">
        <v>188.7</v>
      </c>
      <c r="F33" s="42">
        <v>47.7</v>
      </c>
      <c r="G33" s="42">
        <v>38.6</v>
      </c>
      <c r="H33" s="64"/>
      <c r="I33" s="64"/>
      <c r="J33" s="42">
        <v>26.6</v>
      </c>
      <c r="K33" s="42">
        <v>1581.3</v>
      </c>
      <c r="L33" s="123">
        <f t="shared" si="5"/>
        <v>2923.1</v>
      </c>
      <c r="M33" s="42">
        <v>8.1999999999999993</v>
      </c>
      <c r="N33" s="39">
        <f t="shared" si="9"/>
        <v>275</v>
      </c>
      <c r="O33" s="42">
        <v>26.6</v>
      </c>
      <c r="P33" s="92">
        <f t="shared" si="10"/>
        <v>301.60000000000002</v>
      </c>
      <c r="Q33" s="39">
        <f t="shared" si="6"/>
        <v>16.609000000000002</v>
      </c>
      <c r="R33" s="144">
        <f t="shared" si="7"/>
        <v>1.7136363636363638</v>
      </c>
      <c r="S33" s="128">
        <f t="shared" si="8"/>
        <v>0.80684964780179746</v>
      </c>
      <c r="T33" s="145">
        <f t="shared" si="11"/>
        <v>2931.2999999999997</v>
      </c>
    </row>
    <row r="34" spans="1:72" s="107" customFormat="1" ht="18.75">
      <c r="A34" s="120">
        <v>123</v>
      </c>
      <c r="B34" s="106">
        <v>181</v>
      </c>
      <c r="C34" s="52">
        <v>849.4</v>
      </c>
      <c r="D34" s="52">
        <v>256.5</v>
      </c>
      <c r="E34" s="42">
        <v>239.7</v>
      </c>
      <c r="F34" s="42">
        <v>42.2</v>
      </c>
      <c r="G34" s="42">
        <v>20.2</v>
      </c>
      <c r="H34" s="66"/>
      <c r="I34" s="66"/>
      <c r="J34" s="42">
        <v>26.6</v>
      </c>
      <c r="K34" s="42">
        <v>1561.5</v>
      </c>
      <c r="L34" s="123">
        <f t="shared" si="5"/>
        <v>2996.1</v>
      </c>
      <c r="M34" s="42">
        <v>8.6999999999999993</v>
      </c>
      <c r="N34" s="39">
        <f t="shared" si="9"/>
        <v>302.09999999999997</v>
      </c>
      <c r="O34" s="42">
        <v>26.6</v>
      </c>
      <c r="P34" s="92">
        <f t="shared" si="10"/>
        <v>328.7</v>
      </c>
      <c r="Q34" s="39">
        <f t="shared" si="6"/>
        <v>16.553000000000001</v>
      </c>
      <c r="R34" s="144">
        <f t="shared" si="7"/>
        <v>1.8160220994475138</v>
      </c>
      <c r="S34" s="128">
        <f t="shared" si="8"/>
        <v>0.80412922030604805</v>
      </c>
      <c r="T34" s="145">
        <f t="shared" si="11"/>
        <v>3004.7999999999997</v>
      </c>
      <c r="U34" s="80"/>
      <c r="V34" s="80"/>
      <c r="W34" s="87"/>
      <c r="X34" s="87"/>
      <c r="Y34" s="87"/>
      <c r="Z34" s="87"/>
      <c r="AA34" s="87"/>
      <c r="AB34" s="87"/>
      <c r="AC34" s="87"/>
      <c r="AD34" s="87"/>
      <c r="AE34" s="87"/>
      <c r="AF34" s="87"/>
      <c r="AG34" s="87"/>
      <c r="AH34" s="87"/>
      <c r="AI34" s="87"/>
      <c r="AJ34" s="87"/>
      <c r="AK34" s="87"/>
      <c r="AL34" s="87"/>
      <c r="AM34" s="87"/>
      <c r="AN34" s="87"/>
      <c r="AO34" s="87"/>
      <c r="AP34" s="87"/>
      <c r="AQ34" s="87"/>
      <c r="AR34" s="87"/>
      <c r="AS34" s="87"/>
      <c r="AT34" s="87"/>
      <c r="AU34" s="87"/>
      <c r="AV34" s="87"/>
      <c r="AW34" s="87"/>
      <c r="AX34" s="87"/>
      <c r="AY34" s="87"/>
      <c r="AZ34" s="87"/>
      <c r="BA34" s="87"/>
      <c r="BB34" s="87"/>
      <c r="BC34" s="87"/>
      <c r="BD34" s="87"/>
      <c r="BE34" s="87"/>
      <c r="BF34" s="87"/>
      <c r="BG34" s="87"/>
      <c r="BH34" s="87"/>
      <c r="BI34" s="87"/>
      <c r="BJ34" s="87"/>
      <c r="BK34" s="87"/>
      <c r="BL34" s="87"/>
      <c r="BM34" s="87"/>
      <c r="BN34" s="87"/>
      <c r="BO34" s="87"/>
      <c r="BP34" s="87"/>
      <c r="BQ34" s="87"/>
      <c r="BR34" s="87"/>
      <c r="BS34" s="87"/>
      <c r="BT34" s="87"/>
    </row>
    <row r="35" spans="1:72" ht="18.75">
      <c r="A35" s="7" t="s">
        <v>77</v>
      </c>
      <c r="B35" s="89">
        <v>215</v>
      </c>
      <c r="C35" s="51">
        <v>849.4</v>
      </c>
      <c r="D35" s="51">
        <v>256.5</v>
      </c>
      <c r="E35" s="42">
        <v>186.7</v>
      </c>
      <c r="F35" s="42">
        <v>55.2</v>
      </c>
      <c r="G35" s="42">
        <v>14.4</v>
      </c>
      <c r="H35" s="42"/>
      <c r="I35" s="42"/>
      <c r="J35" s="42">
        <v>26.6</v>
      </c>
      <c r="K35" s="42">
        <v>1852.6</v>
      </c>
      <c r="L35" s="123">
        <f t="shared" si="5"/>
        <v>3241.4</v>
      </c>
      <c r="M35" s="42">
        <v>12.2</v>
      </c>
      <c r="N35" s="39">
        <f t="shared" si="9"/>
        <v>256.29999999999995</v>
      </c>
      <c r="O35" s="42">
        <v>26.6</v>
      </c>
      <c r="P35" s="92">
        <f t="shared" si="10"/>
        <v>282.89999999999998</v>
      </c>
      <c r="Q35" s="39">
        <f t="shared" si="6"/>
        <v>15.076000000000001</v>
      </c>
      <c r="R35" s="144">
        <f t="shared" si="7"/>
        <v>1.3158139534883719</v>
      </c>
      <c r="S35" s="128">
        <f t="shared" si="8"/>
        <v>0.73237794510565946</v>
      </c>
      <c r="T35" s="145">
        <f t="shared" si="11"/>
        <v>3253.6</v>
      </c>
    </row>
    <row r="36" spans="1:72" ht="18.75">
      <c r="A36" s="7" t="s">
        <v>78</v>
      </c>
      <c r="B36" s="89">
        <v>177</v>
      </c>
      <c r="C36" s="51">
        <v>849.4</v>
      </c>
      <c r="D36" s="51">
        <v>256.5</v>
      </c>
      <c r="E36" s="42">
        <v>216.2</v>
      </c>
      <c r="F36" s="42">
        <v>45.8</v>
      </c>
      <c r="G36" s="42">
        <v>28.5</v>
      </c>
      <c r="H36" s="64"/>
      <c r="I36" s="64"/>
      <c r="J36" s="42">
        <v>26.6</v>
      </c>
      <c r="K36" s="42">
        <v>1487.5</v>
      </c>
      <c r="L36" s="123">
        <f t="shared" si="5"/>
        <v>2910.5</v>
      </c>
      <c r="M36" s="42">
        <v>10.8</v>
      </c>
      <c r="N36" s="39">
        <f t="shared" si="9"/>
        <v>290.5</v>
      </c>
      <c r="O36" s="42">
        <v>26.6</v>
      </c>
      <c r="P36" s="92">
        <f t="shared" si="10"/>
        <v>317.10000000000002</v>
      </c>
      <c r="Q36" s="39">
        <f t="shared" si="6"/>
        <v>16.443999999999999</v>
      </c>
      <c r="R36" s="144">
        <f t="shared" si="7"/>
        <v>1.7915254237288136</v>
      </c>
      <c r="S36" s="128">
        <f t="shared" si="8"/>
        <v>0.79883410250182163</v>
      </c>
      <c r="T36" s="145">
        <f t="shared" si="11"/>
        <v>2921.3</v>
      </c>
    </row>
    <row r="37" spans="1:72" ht="18.75">
      <c r="A37" s="7" t="s">
        <v>79</v>
      </c>
      <c r="B37" s="89">
        <v>179</v>
      </c>
      <c r="C37" s="51">
        <v>798.9</v>
      </c>
      <c r="D37" s="51">
        <v>241.3</v>
      </c>
      <c r="E37" s="42">
        <v>236.8</v>
      </c>
      <c r="F37" s="42">
        <v>45.6</v>
      </c>
      <c r="G37" s="42">
        <v>23.5</v>
      </c>
      <c r="H37" s="64"/>
      <c r="I37" s="64"/>
      <c r="J37" s="42">
        <v>26.6</v>
      </c>
      <c r="K37" s="42">
        <v>1646.7</v>
      </c>
      <c r="L37" s="123">
        <f t="shared" si="5"/>
        <v>3019.4</v>
      </c>
      <c r="M37" s="42">
        <v>24.2</v>
      </c>
      <c r="N37" s="39">
        <f t="shared" si="9"/>
        <v>305.90000000000003</v>
      </c>
      <c r="O37" s="42">
        <v>26.6</v>
      </c>
      <c r="P37" s="92">
        <f t="shared" si="10"/>
        <v>332.50000000000006</v>
      </c>
      <c r="Q37" s="39">
        <f t="shared" si="6"/>
        <v>16.867999999999999</v>
      </c>
      <c r="R37" s="144">
        <f t="shared" si="7"/>
        <v>1.8575418994413411</v>
      </c>
      <c r="S37" s="128">
        <f t="shared" si="8"/>
        <v>0.81943162496963795</v>
      </c>
      <c r="T37" s="145">
        <f t="shared" si="11"/>
        <v>3043.6</v>
      </c>
    </row>
    <row r="38" spans="1:72" s="107" customFormat="1" ht="18.75">
      <c r="A38" s="120">
        <v>139</v>
      </c>
      <c r="B38" s="106">
        <v>92</v>
      </c>
      <c r="C38" s="52">
        <v>798.9</v>
      </c>
      <c r="D38" s="52">
        <v>241.3</v>
      </c>
      <c r="E38" s="42">
        <v>204.4</v>
      </c>
      <c r="F38" s="42">
        <v>36.200000000000003</v>
      </c>
      <c r="G38" s="42">
        <v>14.1</v>
      </c>
      <c r="H38" s="66"/>
      <c r="I38" s="66"/>
      <c r="J38" s="42">
        <v>26.6</v>
      </c>
      <c r="K38" s="42">
        <v>939.8</v>
      </c>
      <c r="L38" s="123">
        <f t="shared" si="5"/>
        <v>2261.3000000000002</v>
      </c>
      <c r="M38" s="42">
        <v>11</v>
      </c>
      <c r="N38" s="39">
        <f t="shared" si="9"/>
        <v>254.70000000000002</v>
      </c>
      <c r="O38" s="42">
        <v>26.6</v>
      </c>
      <c r="P38" s="92">
        <f t="shared" si="10"/>
        <v>281.3</v>
      </c>
      <c r="Q38" s="39">
        <f t="shared" si="6"/>
        <v>24.579000000000001</v>
      </c>
      <c r="R38" s="144">
        <f t="shared" si="7"/>
        <v>3.0576086956521742</v>
      </c>
      <c r="S38" s="128">
        <f t="shared" si="8"/>
        <v>1.1940247753218363</v>
      </c>
      <c r="T38" s="145">
        <f t="shared" si="11"/>
        <v>2272.3000000000002</v>
      </c>
      <c r="U38" s="80"/>
      <c r="V38" s="80"/>
      <c r="W38" s="87"/>
      <c r="X38" s="87"/>
      <c r="Y38" s="87"/>
      <c r="Z38" s="87"/>
      <c r="AA38" s="87"/>
      <c r="AB38" s="87"/>
      <c r="AC38" s="87"/>
      <c r="AD38" s="87"/>
      <c r="AE38" s="87"/>
      <c r="AF38" s="87"/>
      <c r="AG38" s="87"/>
      <c r="AH38" s="87"/>
      <c r="AI38" s="87"/>
      <c r="AJ38" s="87"/>
      <c r="AK38" s="87"/>
      <c r="AL38" s="87"/>
      <c r="AM38" s="87"/>
      <c r="AN38" s="87"/>
      <c r="AO38" s="87"/>
      <c r="AP38" s="87"/>
      <c r="AQ38" s="87"/>
      <c r="AR38" s="87"/>
      <c r="AS38" s="87"/>
      <c r="AT38" s="87"/>
      <c r="AU38" s="87"/>
      <c r="AV38" s="87"/>
      <c r="AW38" s="87"/>
      <c r="AX38" s="87"/>
      <c r="AY38" s="87"/>
      <c r="AZ38" s="87"/>
      <c r="BA38" s="87"/>
      <c r="BB38" s="87"/>
      <c r="BC38" s="87"/>
      <c r="BD38" s="87"/>
      <c r="BE38" s="87"/>
      <c r="BF38" s="87"/>
      <c r="BG38" s="87"/>
      <c r="BH38" s="87"/>
      <c r="BI38" s="87"/>
      <c r="BJ38" s="87"/>
      <c r="BK38" s="87"/>
      <c r="BL38" s="87"/>
      <c r="BM38" s="87"/>
      <c r="BN38" s="87"/>
      <c r="BO38" s="87"/>
      <c r="BP38" s="87"/>
      <c r="BQ38" s="87"/>
      <c r="BR38" s="87"/>
      <c r="BS38" s="87"/>
      <c r="BT38" s="87"/>
    </row>
    <row r="39" spans="1:72" ht="18.75">
      <c r="A39" s="7" t="s">
        <v>80</v>
      </c>
      <c r="B39" s="89">
        <v>212</v>
      </c>
      <c r="C39" s="51">
        <v>950.5</v>
      </c>
      <c r="D39" s="51">
        <v>287.10000000000002</v>
      </c>
      <c r="E39" s="42">
        <v>351.5</v>
      </c>
      <c r="F39" s="42">
        <v>57.9</v>
      </c>
      <c r="G39" s="42">
        <v>27.4</v>
      </c>
      <c r="H39" s="64"/>
      <c r="I39" s="64"/>
      <c r="J39" s="42">
        <v>26.6</v>
      </c>
      <c r="K39" s="42">
        <v>1788.1</v>
      </c>
      <c r="L39" s="123">
        <f t="shared" si="5"/>
        <v>3489.1</v>
      </c>
      <c r="M39" s="42">
        <v>11.5</v>
      </c>
      <c r="N39" s="39">
        <f t="shared" si="9"/>
        <v>436.79999999999995</v>
      </c>
      <c r="O39" s="42">
        <v>26.6</v>
      </c>
      <c r="P39" s="92">
        <f t="shared" si="10"/>
        <v>463.4</v>
      </c>
      <c r="Q39" s="39">
        <f t="shared" si="6"/>
        <v>16.457999999999998</v>
      </c>
      <c r="R39" s="144">
        <f t="shared" si="7"/>
        <v>2.1858490566037734</v>
      </c>
      <c r="S39" s="128">
        <f t="shared" si="8"/>
        <v>0.7995142093757589</v>
      </c>
      <c r="T39" s="145">
        <f t="shared" si="11"/>
        <v>3500.6</v>
      </c>
    </row>
    <row r="40" spans="1:72" ht="18.75">
      <c r="A40" s="7" t="s">
        <v>81</v>
      </c>
      <c r="B40" s="89">
        <v>179</v>
      </c>
      <c r="C40" s="51">
        <v>798.9</v>
      </c>
      <c r="D40" s="51">
        <v>241.3</v>
      </c>
      <c r="E40" s="42">
        <v>204.4</v>
      </c>
      <c r="F40" s="42">
        <v>51.5</v>
      </c>
      <c r="G40" s="42">
        <v>24.4</v>
      </c>
      <c r="H40" s="64"/>
      <c r="I40" s="64"/>
      <c r="J40" s="42">
        <v>26.6</v>
      </c>
      <c r="K40" s="42">
        <v>1690.4</v>
      </c>
      <c r="L40" s="123">
        <f t="shared" si="5"/>
        <v>3037.5</v>
      </c>
      <c r="M40" s="42">
        <v>14</v>
      </c>
      <c r="N40" s="39">
        <f t="shared" si="9"/>
        <v>280.3</v>
      </c>
      <c r="O40" s="42">
        <v>26.6</v>
      </c>
      <c r="P40" s="92">
        <f t="shared" si="10"/>
        <v>306.90000000000003</v>
      </c>
      <c r="Q40" s="39">
        <f t="shared" si="6"/>
        <v>16.969000000000001</v>
      </c>
      <c r="R40" s="144">
        <f t="shared" si="7"/>
        <v>1.7145251396648047</v>
      </c>
      <c r="S40" s="128">
        <f t="shared" si="8"/>
        <v>0.82433811027447168</v>
      </c>
      <c r="T40" s="145">
        <f t="shared" si="11"/>
        <v>3051.5</v>
      </c>
    </row>
    <row r="41" spans="1:72" ht="18.75">
      <c r="A41" s="7" t="s">
        <v>82</v>
      </c>
      <c r="B41" s="89">
        <v>195</v>
      </c>
      <c r="C41" s="51">
        <v>849.4</v>
      </c>
      <c r="D41" s="51">
        <v>256.5</v>
      </c>
      <c r="E41" s="42">
        <v>169</v>
      </c>
      <c r="F41" s="42">
        <v>43.6</v>
      </c>
      <c r="G41" s="42">
        <v>23.6</v>
      </c>
      <c r="H41" s="64"/>
      <c r="I41" s="64"/>
      <c r="J41" s="42">
        <v>26.6</v>
      </c>
      <c r="K41" s="42">
        <v>1737.5</v>
      </c>
      <c r="L41" s="123">
        <f t="shared" si="5"/>
        <v>3106.2</v>
      </c>
      <c r="M41" s="42">
        <v>13.3</v>
      </c>
      <c r="N41" s="39">
        <f t="shared" si="9"/>
        <v>236.2</v>
      </c>
      <c r="O41" s="42">
        <v>26.6</v>
      </c>
      <c r="P41" s="92">
        <f t="shared" si="10"/>
        <v>262.8</v>
      </c>
      <c r="Q41" s="39">
        <f t="shared" si="6"/>
        <v>15.929</v>
      </c>
      <c r="R41" s="144">
        <f t="shared" si="7"/>
        <v>1.3476923076923077</v>
      </c>
      <c r="S41" s="128">
        <f t="shared" si="8"/>
        <v>0.77381588535341261</v>
      </c>
      <c r="T41" s="145">
        <f t="shared" si="11"/>
        <v>3119.5</v>
      </c>
    </row>
    <row r="42" spans="1:72" s="107" customFormat="1" ht="18.75">
      <c r="A42" s="120">
        <v>153</v>
      </c>
      <c r="B42" s="106">
        <v>177</v>
      </c>
      <c r="C42" s="52">
        <v>899.9</v>
      </c>
      <c r="D42" s="52">
        <v>271.8</v>
      </c>
      <c r="E42" s="42">
        <v>215.1</v>
      </c>
      <c r="F42" s="42">
        <v>40.4</v>
      </c>
      <c r="G42" s="42">
        <v>20.2</v>
      </c>
      <c r="H42" s="66"/>
      <c r="I42" s="66"/>
      <c r="J42" s="42">
        <v>26.6</v>
      </c>
      <c r="K42" s="42">
        <v>1652.3</v>
      </c>
      <c r="L42" s="123">
        <f t="shared" si="5"/>
        <v>3126.3</v>
      </c>
      <c r="M42" s="42">
        <v>13.4</v>
      </c>
      <c r="N42" s="39">
        <f t="shared" si="9"/>
        <v>275.7</v>
      </c>
      <c r="O42" s="42">
        <v>26.6</v>
      </c>
      <c r="P42" s="92">
        <f t="shared" si="10"/>
        <v>302.3</v>
      </c>
      <c r="Q42" s="39">
        <f t="shared" si="6"/>
        <v>17.663</v>
      </c>
      <c r="R42" s="144">
        <f t="shared" si="7"/>
        <v>1.7079096045197741</v>
      </c>
      <c r="S42" s="128">
        <f t="shared" si="8"/>
        <v>0.8580519795967938</v>
      </c>
      <c r="T42" s="145">
        <f t="shared" si="11"/>
        <v>3139.7000000000003</v>
      </c>
      <c r="U42" s="80"/>
      <c r="V42" s="80"/>
      <c r="W42" s="87"/>
      <c r="X42" s="87"/>
      <c r="Y42" s="87"/>
      <c r="Z42" s="87"/>
      <c r="AA42" s="87"/>
      <c r="AB42" s="87"/>
      <c r="AC42" s="87"/>
      <c r="AD42" s="87"/>
      <c r="AE42" s="87"/>
      <c r="AF42" s="87"/>
      <c r="AG42" s="87"/>
      <c r="AH42" s="87"/>
      <c r="AI42" s="87"/>
      <c r="AJ42" s="87"/>
      <c r="AK42" s="87"/>
      <c r="AL42" s="87"/>
      <c r="AM42" s="87"/>
      <c r="AN42" s="87"/>
      <c r="AO42" s="87"/>
      <c r="AP42" s="87"/>
      <c r="AQ42" s="87"/>
      <c r="AR42" s="87"/>
      <c r="AS42" s="87"/>
      <c r="AT42" s="87"/>
      <c r="AU42" s="87"/>
      <c r="AV42" s="87"/>
      <c r="AW42" s="87"/>
      <c r="AX42" s="87"/>
      <c r="AY42" s="87"/>
      <c r="AZ42" s="87"/>
      <c r="BA42" s="87"/>
      <c r="BB42" s="87"/>
      <c r="BC42" s="87"/>
      <c r="BD42" s="87"/>
      <c r="BE42" s="87"/>
      <c r="BF42" s="87"/>
      <c r="BG42" s="87"/>
      <c r="BH42" s="87"/>
      <c r="BI42" s="87"/>
      <c r="BJ42" s="87"/>
      <c r="BK42" s="87"/>
      <c r="BL42" s="87"/>
      <c r="BM42" s="87"/>
      <c r="BN42" s="87"/>
      <c r="BO42" s="87"/>
      <c r="BP42" s="87"/>
      <c r="BQ42" s="87"/>
      <c r="BR42" s="87"/>
      <c r="BS42" s="87"/>
      <c r="BT42" s="87"/>
    </row>
    <row r="43" spans="1:72" ht="18.75">
      <c r="A43" s="7" t="s">
        <v>83</v>
      </c>
      <c r="B43" s="89">
        <v>195</v>
      </c>
      <c r="C43" s="51">
        <v>874.7</v>
      </c>
      <c r="D43" s="51">
        <v>264.2</v>
      </c>
      <c r="E43" s="42">
        <v>225.1</v>
      </c>
      <c r="F43" s="42">
        <v>41.5</v>
      </c>
      <c r="G43" s="42">
        <v>21</v>
      </c>
      <c r="H43" s="64"/>
      <c r="I43" s="64"/>
      <c r="J43" s="42">
        <v>26.6</v>
      </c>
      <c r="K43" s="42">
        <v>1674.8</v>
      </c>
      <c r="L43" s="123">
        <f t="shared" si="5"/>
        <v>3127.9</v>
      </c>
      <c r="M43" s="42">
        <v>13.4</v>
      </c>
      <c r="N43" s="39">
        <f t="shared" si="9"/>
        <v>287.60000000000002</v>
      </c>
      <c r="O43" s="42">
        <v>26.6</v>
      </c>
      <c r="P43" s="92">
        <f t="shared" si="10"/>
        <v>314.20000000000005</v>
      </c>
      <c r="Q43" s="39">
        <f t="shared" si="6"/>
        <v>16.041</v>
      </c>
      <c r="R43" s="144">
        <f t="shared" si="7"/>
        <v>1.6112820512820516</v>
      </c>
      <c r="S43" s="128">
        <f t="shared" si="8"/>
        <v>0.77925674034491133</v>
      </c>
      <c r="T43" s="145">
        <f t="shared" si="11"/>
        <v>3141.3</v>
      </c>
    </row>
    <row r="44" spans="1:72" ht="18.75">
      <c r="A44" s="7" t="s">
        <v>84</v>
      </c>
      <c r="B44" s="89">
        <v>179</v>
      </c>
      <c r="C44" s="51">
        <v>798.9</v>
      </c>
      <c r="D44" s="51">
        <v>241.3</v>
      </c>
      <c r="E44" s="42">
        <v>216.2</v>
      </c>
      <c r="F44" s="42">
        <v>128.80000000000001</v>
      </c>
      <c r="G44" s="42">
        <v>26.4</v>
      </c>
      <c r="H44" s="64"/>
      <c r="I44" s="64"/>
      <c r="J44" s="42">
        <v>26.6</v>
      </c>
      <c r="K44" s="42">
        <v>1661.4</v>
      </c>
      <c r="L44" s="123">
        <f t="shared" si="5"/>
        <v>3099.6</v>
      </c>
      <c r="M44" s="42">
        <v>14.6</v>
      </c>
      <c r="N44" s="39">
        <f t="shared" si="9"/>
        <v>371.4</v>
      </c>
      <c r="O44" s="42">
        <v>26.6</v>
      </c>
      <c r="P44" s="92">
        <f t="shared" si="10"/>
        <v>398</v>
      </c>
      <c r="Q44" s="39">
        <f t="shared" si="6"/>
        <v>17.315999999999999</v>
      </c>
      <c r="R44" s="144">
        <f t="shared" si="7"/>
        <v>2.2234636871508382</v>
      </c>
      <c r="S44" s="128">
        <f t="shared" si="8"/>
        <v>0.84119504493563269</v>
      </c>
      <c r="T44" s="145">
        <f t="shared" si="11"/>
        <v>3114.2</v>
      </c>
    </row>
    <row r="45" spans="1:72" s="107" customFormat="1" ht="18.75">
      <c r="A45" s="120">
        <v>167</v>
      </c>
      <c r="B45" s="106">
        <v>179</v>
      </c>
      <c r="C45" s="52">
        <v>874.7</v>
      </c>
      <c r="D45" s="52">
        <v>264.2</v>
      </c>
      <c r="E45" s="42">
        <v>231.3</v>
      </c>
      <c r="F45" s="42">
        <v>114</v>
      </c>
      <c r="G45" s="42">
        <v>23.3</v>
      </c>
      <c r="H45" s="66"/>
      <c r="I45" s="66"/>
      <c r="J45" s="42">
        <v>26.6</v>
      </c>
      <c r="K45" s="42">
        <v>1553.2</v>
      </c>
      <c r="L45" s="123">
        <f t="shared" si="5"/>
        <v>3087.3</v>
      </c>
      <c r="M45" s="42">
        <v>12.6</v>
      </c>
      <c r="N45" s="39">
        <f t="shared" si="9"/>
        <v>368.6</v>
      </c>
      <c r="O45" s="42">
        <v>26.6</v>
      </c>
      <c r="P45" s="92">
        <f t="shared" si="10"/>
        <v>395.20000000000005</v>
      </c>
      <c r="Q45" s="39">
        <f t="shared" si="6"/>
        <v>17.247</v>
      </c>
      <c r="R45" s="144">
        <f t="shared" si="7"/>
        <v>2.2078212290502797</v>
      </c>
      <c r="S45" s="128">
        <f t="shared" si="8"/>
        <v>0.83784308962837017</v>
      </c>
      <c r="T45" s="145">
        <f t="shared" si="11"/>
        <v>3099.9</v>
      </c>
      <c r="U45" s="80"/>
      <c r="V45" s="80"/>
      <c r="W45" s="87"/>
      <c r="X45" s="87"/>
      <c r="Y45" s="87"/>
      <c r="Z45" s="87"/>
      <c r="AA45" s="87"/>
      <c r="AB45" s="87"/>
      <c r="AC45" s="87"/>
      <c r="AD45" s="87"/>
      <c r="AE45" s="87"/>
      <c r="AF45" s="87"/>
      <c r="AG45" s="87"/>
      <c r="AH45" s="87"/>
      <c r="AI45" s="87"/>
      <c r="AJ45" s="87"/>
      <c r="AK45" s="87"/>
      <c r="AL45" s="87"/>
      <c r="AM45" s="87"/>
      <c r="AN45" s="87"/>
      <c r="AO45" s="87"/>
      <c r="AP45" s="87"/>
      <c r="AQ45" s="87"/>
      <c r="AR45" s="87"/>
      <c r="AS45" s="87"/>
      <c r="AT45" s="87"/>
      <c r="AU45" s="87"/>
      <c r="AV45" s="87"/>
      <c r="AW45" s="87"/>
      <c r="AX45" s="87"/>
      <c r="AY45" s="87"/>
      <c r="AZ45" s="87"/>
      <c r="BA45" s="87"/>
      <c r="BB45" s="87"/>
      <c r="BC45" s="87"/>
      <c r="BD45" s="87"/>
      <c r="BE45" s="87"/>
      <c r="BF45" s="87"/>
      <c r="BG45" s="87"/>
      <c r="BH45" s="87"/>
      <c r="BI45" s="87"/>
      <c r="BJ45" s="87"/>
      <c r="BK45" s="87"/>
      <c r="BL45" s="87"/>
      <c r="BM45" s="87"/>
      <c r="BN45" s="87"/>
      <c r="BO45" s="87"/>
      <c r="BP45" s="87"/>
      <c r="BQ45" s="87"/>
      <c r="BR45" s="87"/>
      <c r="BS45" s="87"/>
      <c r="BT45" s="87"/>
    </row>
    <row r="46" spans="1:72" ht="18.75">
      <c r="A46" s="7" t="s">
        <v>85</v>
      </c>
      <c r="B46" s="89">
        <v>230</v>
      </c>
      <c r="C46" s="51">
        <v>874.7</v>
      </c>
      <c r="D46" s="51">
        <v>264.2</v>
      </c>
      <c r="E46" s="42">
        <v>212.2</v>
      </c>
      <c r="F46" s="42">
        <v>102.30000000000001</v>
      </c>
      <c r="G46" s="42">
        <v>38.299999999999997</v>
      </c>
      <c r="H46" s="64"/>
      <c r="I46" s="64"/>
      <c r="J46" s="42">
        <v>26.6</v>
      </c>
      <c r="K46" s="42">
        <v>2075.1</v>
      </c>
      <c r="L46" s="123">
        <f t="shared" si="5"/>
        <v>3593.4</v>
      </c>
      <c r="M46" s="42">
        <v>32.4</v>
      </c>
      <c r="N46" s="39">
        <f t="shared" si="9"/>
        <v>352.8</v>
      </c>
      <c r="O46" s="42">
        <v>26.6</v>
      </c>
      <c r="P46" s="92">
        <f t="shared" si="10"/>
        <v>379.40000000000003</v>
      </c>
      <c r="Q46" s="39">
        <f t="shared" si="6"/>
        <v>15.622999999999999</v>
      </c>
      <c r="R46" s="144">
        <f t="shared" si="7"/>
        <v>1.6495652173913045</v>
      </c>
      <c r="S46" s="128">
        <f t="shared" si="8"/>
        <v>0.75895069225163947</v>
      </c>
      <c r="T46" s="145">
        <f t="shared" si="11"/>
        <v>3625.8</v>
      </c>
    </row>
    <row r="47" spans="1:72" ht="18.75">
      <c r="A47" s="7" t="s">
        <v>86</v>
      </c>
      <c r="B47" s="89">
        <v>211</v>
      </c>
      <c r="C47" s="51">
        <v>950.5</v>
      </c>
      <c r="D47" s="51">
        <v>287.10000000000002</v>
      </c>
      <c r="E47" s="42">
        <v>247.6</v>
      </c>
      <c r="F47" s="42">
        <v>111.3</v>
      </c>
      <c r="G47" s="42">
        <v>26.4</v>
      </c>
      <c r="H47" s="64"/>
      <c r="I47" s="64"/>
      <c r="J47" s="42">
        <v>26.6</v>
      </c>
      <c r="K47" s="42">
        <v>1960.9</v>
      </c>
      <c r="L47" s="123">
        <f t="shared" si="5"/>
        <v>3610.4</v>
      </c>
      <c r="M47" s="42">
        <v>13.7</v>
      </c>
      <c r="N47" s="39">
        <f t="shared" si="9"/>
        <v>385.29999999999995</v>
      </c>
      <c r="O47" s="42">
        <v>26.6</v>
      </c>
      <c r="P47" s="92">
        <f t="shared" si="10"/>
        <v>411.9</v>
      </c>
      <c r="Q47" s="39">
        <f t="shared" si="6"/>
        <v>17.111000000000001</v>
      </c>
      <c r="R47" s="144">
        <f t="shared" si="7"/>
        <v>1.9521327014218008</v>
      </c>
      <c r="S47" s="128">
        <f t="shared" si="8"/>
        <v>0.83123633713869327</v>
      </c>
      <c r="T47" s="145">
        <f t="shared" si="11"/>
        <v>3624.1</v>
      </c>
    </row>
    <row r="48" spans="1:72" ht="18.75">
      <c r="A48" s="7" t="s">
        <v>87</v>
      </c>
      <c r="B48" s="89">
        <v>169</v>
      </c>
      <c r="C48" s="51">
        <v>798.9</v>
      </c>
      <c r="D48" s="51">
        <v>241.3</v>
      </c>
      <c r="E48" s="42">
        <v>216.2</v>
      </c>
      <c r="F48" s="42">
        <v>114</v>
      </c>
      <c r="G48" s="42">
        <v>43.1</v>
      </c>
      <c r="H48" s="64"/>
      <c r="I48" s="64"/>
      <c r="J48" s="42">
        <v>26.6</v>
      </c>
      <c r="K48" s="42">
        <v>1493.1</v>
      </c>
      <c r="L48" s="123">
        <f t="shared" si="5"/>
        <v>2933.2</v>
      </c>
      <c r="M48" s="42">
        <v>0</v>
      </c>
      <c r="N48" s="39">
        <f t="shared" si="9"/>
        <v>373.3</v>
      </c>
      <c r="O48" s="42">
        <v>26.6</v>
      </c>
      <c r="P48" s="92">
        <f t="shared" si="10"/>
        <v>399.90000000000003</v>
      </c>
      <c r="Q48" s="39">
        <f t="shared" si="6"/>
        <v>17.356000000000002</v>
      </c>
      <c r="R48" s="144">
        <f t="shared" si="7"/>
        <v>2.3662721893491128</v>
      </c>
      <c r="S48" s="128">
        <f t="shared" si="8"/>
        <v>0.8431382074325966</v>
      </c>
      <c r="T48" s="145">
        <f t="shared" si="11"/>
        <v>2933.2</v>
      </c>
    </row>
    <row r="49" spans="1:72" ht="18.75">
      <c r="A49" s="7" t="s">
        <v>88</v>
      </c>
      <c r="B49" s="89">
        <v>198</v>
      </c>
      <c r="C49" s="51">
        <v>874.7</v>
      </c>
      <c r="D49" s="51">
        <v>264.2</v>
      </c>
      <c r="E49" s="42">
        <v>231.9</v>
      </c>
      <c r="F49" s="42">
        <v>126.9</v>
      </c>
      <c r="G49" s="42">
        <v>32.5</v>
      </c>
      <c r="H49" s="64"/>
      <c r="I49" s="64"/>
      <c r="J49" s="42">
        <v>26.6</v>
      </c>
      <c r="K49" s="42">
        <v>1799.5</v>
      </c>
      <c r="L49" s="123">
        <f t="shared" ref="L49:L80" si="12">ROUND(C49+D49+H49+J49+K49+F49+G49+E49,1)</f>
        <v>3356.3</v>
      </c>
      <c r="M49" s="42">
        <v>13.8</v>
      </c>
      <c r="N49" s="39">
        <f t="shared" si="9"/>
        <v>391.3</v>
      </c>
      <c r="O49" s="42">
        <v>26.6</v>
      </c>
      <c r="P49" s="92">
        <f t="shared" si="10"/>
        <v>417.90000000000003</v>
      </c>
      <c r="Q49" s="39">
        <f t="shared" ref="Q49:Q80" si="13">ROUND(L49/B49,3)</f>
        <v>16.951000000000001</v>
      </c>
      <c r="R49" s="144">
        <f t="shared" ref="R49:R80" si="14">P49/B49</f>
        <v>2.1106060606060608</v>
      </c>
      <c r="S49" s="128">
        <f t="shared" si="8"/>
        <v>0.82346368715083795</v>
      </c>
      <c r="T49" s="145">
        <f t="shared" si="11"/>
        <v>3370.1000000000004</v>
      </c>
    </row>
    <row r="50" spans="1:72" s="107" customFormat="1" ht="18.75">
      <c r="A50" s="120">
        <v>185</v>
      </c>
      <c r="B50" s="106">
        <v>156</v>
      </c>
      <c r="C50" s="52">
        <v>798.9</v>
      </c>
      <c r="D50" s="52">
        <v>241.3</v>
      </c>
      <c r="E50" s="42">
        <v>146.19999999999999</v>
      </c>
      <c r="F50" s="42">
        <v>47.3</v>
      </c>
      <c r="G50" s="42">
        <v>22.1</v>
      </c>
      <c r="H50" s="66"/>
      <c r="I50" s="66"/>
      <c r="J50" s="42">
        <v>26.6</v>
      </c>
      <c r="K50" s="42">
        <v>3067.3</v>
      </c>
      <c r="L50" s="123">
        <f t="shared" si="12"/>
        <v>4349.7</v>
      </c>
      <c r="M50" s="42">
        <v>11.9</v>
      </c>
      <c r="N50" s="39">
        <f t="shared" si="9"/>
        <v>215.6</v>
      </c>
      <c r="O50" s="42">
        <v>26.6</v>
      </c>
      <c r="P50" s="92">
        <f t="shared" si="10"/>
        <v>242.2</v>
      </c>
      <c r="Q50" s="39">
        <f t="shared" si="13"/>
        <v>27.882999999999999</v>
      </c>
      <c r="R50" s="144">
        <f t="shared" si="14"/>
        <v>1.5525641025641026</v>
      </c>
      <c r="S50" s="128">
        <f t="shared" si="8"/>
        <v>1.3545299975710468</v>
      </c>
      <c r="T50" s="145">
        <f t="shared" si="11"/>
        <v>4361.5999999999995</v>
      </c>
      <c r="U50" s="80"/>
      <c r="V50" s="80"/>
      <c r="W50" s="87"/>
      <c r="X50" s="87"/>
      <c r="Y50" s="87"/>
      <c r="Z50" s="87"/>
      <c r="AA50" s="87"/>
      <c r="AB50" s="87"/>
      <c r="AC50" s="87"/>
      <c r="AD50" s="87"/>
      <c r="AE50" s="87"/>
      <c r="AF50" s="87"/>
      <c r="AG50" s="87"/>
      <c r="AH50" s="87"/>
      <c r="AI50" s="87"/>
      <c r="AJ50" s="87"/>
      <c r="AK50" s="87"/>
      <c r="AL50" s="87"/>
      <c r="AM50" s="87"/>
      <c r="AN50" s="87"/>
      <c r="AO50" s="87"/>
      <c r="AP50" s="87"/>
      <c r="AQ50" s="87"/>
      <c r="AR50" s="87"/>
      <c r="AS50" s="87"/>
      <c r="AT50" s="87"/>
      <c r="AU50" s="87"/>
      <c r="AV50" s="87"/>
      <c r="AW50" s="87"/>
      <c r="AX50" s="87"/>
      <c r="AY50" s="87"/>
      <c r="AZ50" s="87"/>
      <c r="BA50" s="87"/>
      <c r="BB50" s="87"/>
      <c r="BC50" s="87"/>
      <c r="BD50" s="87"/>
      <c r="BE50" s="87"/>
      <c r="BF50" s="87"/>
      <c r="BG50" s="87"/>
      <c r="BH50" s="87"/>
      <c r="BI50" s="87"/>
      <c r="BJ50" s="87"/>
      <c r="BK50" s="87"/>
      <c r="BL50" s="87"/>
      <c r="BM50" s="87"/>
      <c r="BN50" s="87"/>
      <c r="BO50" s="87"/>
      <c r="BP50" s="87"/>
      <c r="BQ50" s="87"/>
      <c r="BR50" s="87"/>
      <c r="BS50" s="87"/>
      <c r="BT50" s="87"/>
    </row>
    <row r="51" spans="1:72" ht="18.75">
      <c r="A51" s="7" t="s">
        <v>89</v>
      </c>
      <c r="B51" s="89">
        <v>196</v>
      </c>
      <c r="C51" s="51">
        <v>1026.4000000000001</v>
      </c>
      <c r="D51" s="51">
        <v>310</v>
      </c>
      <c r="E51" s="42">
        <v>352.3</v>
      </c>
      <c r="F51" s="42">
        <v>72.099999999999994</v>
      </c>
      <c r="G51" s="42">
        <v>32.799999999999997</v>
      </c>
      <c r="H51" s="64"/>
      <c r="I51" s="64"/>
      <c r="J51" s="42">
        <v>26.6</v>
      </c>
      <c r="K51" s="42">
        <v>1804.6</v>
      </c>
      <c r="L51" s="123">
        <f t="shared" si="12"/>
        <v>3624.8</v>
      </c>
      <c r="M51" s="42">
        <v>9.1999999999999993</v>
      </c>
      <c r="N51" s="39">
        <f t="shared" si="9"/>
        <v>457.2</v>
      </c>
      <c r="O51" s="42">
        <v>26.6</v>
      </c>
      <c r="P51" s="92">
        <f t="shared" si="10"/>
        <v>483.8</v>
      </c>
      <c r="Q51" s="39">
        <f t="shared" si="13"/>
        <v>18.494</v>
      </c>
      <c r="R51" s="144">
        <f t="shared" si="14"/>
        <v>2.4683673469387757</v>
      </c>
      <c r="S51" s="128">
        <f t="shared" si="8"/>
        <v>0.89842118047121688</v>
      </c>
      <c r="T51" s="145">
        <f t="shared" si="11"/>
        <v>3634</v>
      </c>
    </row>
    <row r="52" spans="1:72" s="107" customFormat="1" ht="18.75">
      <c r="A52" s="120">
        <v>214</v>
      </c>
      <c r="B52" s="106">
        <v>359</v>
      </c>
      <c r="C52" s="52">
        <v>1203.3</v>
      </c>
      <c r="D52" s="52">
        <v>363.4</v>
      </c>
      <c r="E52" s="42">
        <v>299.60000000000002</v>
      </c>
      <c r="F52" s="42">
        <v>228.5</v>
      </c>
      <c r="G52" s="42">
        <v>43.5</v>
      </c>
      <c r="H52" s="66"/>
      <c r="I52" s="66"/>
      <c r="J52" s="42">
        <v>34.4</v>
      </c>
      <c r="K52" s="42">
        <v>3393.8</v>
      </c>
      <c r="L52" s="123">
        <f t="shared" si="12"/>
        <v>5566.5</v>
      </c>
      <c r="M52" s="42">
        <v>23</v>
      </c>
      <c r="N52" s="39">
        <f t="shared" si="9"/>
        <v>571.6</v>
      </c>
      <c r="O52" s="42">
        <v>34.4</v>
      </c>
      <c r="P52" s="92">
        <f t="shared" si="10"/>
        <v>606</v>
      </c>
      <c r="Q52" s="39">
        <f t="shared" si="13"/>
        <v>15.506</v>
      </c>
      <c r="R52" s="144">
        <f t="shared" si="14"/>
        <v>1.6880222841225627</v>
      </c>
      <c r="S52" s="128">
        <f t="shared" si="8"/>
        <v>0.75326694194802035</v>
      </c>
      <c r="T52" s="145">
        <f t="shared" si="11"/>
        <v>5589.5</v>
      </c>
      <c r="U52" s="80"/>
      <c r="V52" s="80"/>
      <c r="W52" s="87"/>
      <c r="X52" s="87"/>
      <c r="Y52" s="87"/>
      <c r="Z52" s="87"/>
      <c r="AA52" s="87"/>
      <c r="AB52" s="87"/>
      <c r="AC52" s="87"/>
      <c r="AD52" s="87"/>
      <c r="AE52" s="87"/>
      <c r="AF52" s="87"/>
      <c r="AG52" s="87"/>
      <c r="AH52" s="87"/>
      <c r="AI52" s="87"/>
      <c r="AJ52" s="87"/>
      <c r="AK52" s="87"/>
      <c r="AL52" s="87"/>
      <c r="AM52" s="87"/>
      <c r="AN52" s="87"/>
      <c r="AO52" s="87"/>
      <c r="AP52" s="87"/>
      <c r="AQ52" s="87"/>
      <c r="AR52" s="87"/>
      <c r="AS52" s="87"/>
      <c r="AT52" s="87"/>
      <c r="AU52" s="87"/>
      <c r="AV52" s="87"/>
      <c r="AW52" s="87"/>
      <c r="AX52" s="87"/>
      <c r="AY52" s="87"/>
      <c r="AZ52" s="87"/>
      <c r="BA52" s="87"/>
      <c r="BB52" s="87"/>
      <c r="BC52" s="87"/>
      <c r="BD52" s="87"/>
      <c r="BE52" s="87"/>
      <c r="BF52" s="87"/>
      <c r="BG52" s="87"/>
      <c r="BH52" s="87"/>
      <c r="BI52" s="87"/>
      <c r="BJ52" s="87"/>
      <c r="BK52" s="87"/>
      <c r="BL52" s="87"/>
      <c r="BM52" s="87"/>
      <c r="BN52" s="87"/>
      <c r="BO52" s="87"/>
      <c r="BP52" s="87"/>
      <c r="BQ52" s="87"/>
      <c r="BR52" s="87"/>
      <c r="BS52" s="87"/>
      <c r="BT52" s="87"/>
    </row>
    <row r="53" spans="1:72" ht="18.75">
      <c r="A53" s="121" t="s">
        <v>90</v>
      </c>
      <c r="B53" s="89">
        <v>217</v>
      </c>
      <c r="C53" s="51">
        <v>950.5</v>
      </c>
      <c r="D53" s="51">
        <v>287.10000000000002</v>
      </c>
      <c r="E53" s="42">
        <v>286.89999999999998</v>
      </c>
      <c r="F53" s="42">
        <v>130.30000000000001</v>
      </c>
      <c r="G53" s="42">
        <v>32.5</v>
      </c>
      <c r="H53" s="64"/>
      <c r="I53" s="64"/>
      <c r="J53" s="42">
        <v>26.6</v>
      </c>
      <c r="K53" s="42">
        <v>1904.5</v>
      </c>
      <c r="L53" s="123">
        <f t="shared" si="12"/>
        <v>3618.4</v>
      </c>
      <c r="M53" s="42">
        <v>11.8</v>
      </c>
      <c r="N53" s="39">
        <f t="shared" si="9"/>
        <v>449.7</v>
      </c>
      <c r="O53" s="42">
        <v>26.6</v>
      </c>
      <c r="P53" s="92">
        <f t="shared" si="10"/>
        <v>476.3</v>
      </c>
      <c r="Q53" s="39">
        <f t="shared" si="13"/>
        <v>16.675000000000001</v>
      </c>
      <c r="R53" s="144">
        <f t="shared" si="14"/>
        <v>2.1949308755760368</v>
      </c>
      <c r="S53" s="128">
        <f t="shared" si="8"/>
        <v>0.81005586592178769</v>
      </c>
      <c r="T53" s="145">
        <f t="shared" si="11"/>
        <v>3630.2000000000003</v>
      </c>
    </row>
    <row r="54" spans="1:72" ht="18.75">
      <c r="A54" s="7" t="s">
        <v>91</v>
      </c>
      <c r="B54" s="89">
        <v>199</v>
      </c>
      <c r="C54" s="51">
        <v>874.7</v>
      </c>
      <c r="D54" s="51">
        <v>264.2</v>
      </c>
      <c r="E54" s="42">
        <v>192.1</v>
      </c>
      <c r="F54" s="42">
        <v>55.3</v>
      </c>
      <c r="G54" s="42">
        <v>25</v>
      </c>
      <c r="H54" s="64"/>
      <c r="I54" s="64"/>
      <c r="J54" s="42">
        <v>26.6</v>
      </c>
      <c r="K54" s="42">
        <v>1687</v>
      </c>
      <c r="L54" s="123">
        <f t="shared" si="12"/>
        <v>3124.9</v>
      </c>
      <c r="M54" s="42">
        <v>9.6</v>
      </c>
      <c r="N54" s="39">
        <f t="shared" si="9"/>
        <v>272.39999999999998</v>
      </c>
      <c r="O54" s="42">
        <v>26.6</v>
      </c>
      <c r="P54" s="92">
        <f t="shared" si="10"/>
        <v>299</v>
      </c>
      <c r="Q54" s="39">
        <f t="shared" si="13"/>
        <v>15.702999999999999</v>
      </c>
      <c r="R54" s="144">
        <f t="shared" si="14"/>
        <v>1.5025125628140703</v>
      </c>
      <c r="S54" s="128">
        <f t="shared" si="8"/>
        <v>0.76283701724556707</v>
      </c>
      <c r="T54" s="145">
        <f t="shared" si="11"/>
        <v>3134.5</v>
      </c>
    </row>
    <row r="55" spans="1:72" s="107" customFormat="1" ht="18.75">
      <c r="A55" s="120">
        <v>226</v>
      </c>
      <c r="B55" s="106">
        <v>458</v>
      </c>
      <c r="C55" s="52">
        <v>1506.6</v>
      </c>
      <c r="D55" s="52">
        <v>455</v>
      </c>
      <c r="E55" s="42">
        <v>466</v>
      </c>
      <c r="F55" s="42">
        <v>177.3</v>
      </c>
      <c r="G55" s="42">
        <v>40.5</v>
      </c>
      <c r="H55" s="66"/>
      <c r="I55" s="66"/>
      <c r="J55" s="42">
        <v>34.4</v>
      </c>
      <c r="K55" s="42">
        <v>4218.8999999999996</v>
      </c>
      <c r="L55" s="123">
        <f t="shared" si="12"/>
        <v>6898.7</v>
      </c>
      <c r="M55" s="42">
        <v>21.2</v>
      </c>
      <c r="N55" s="39">
        <f t="shared" si="9"/>
        <v>683.8</v>
      </c>
      <c r="O55" s="42">
        <v>34.4</v>
      </c>
      <c r="P55" s="92">
        <f t="shared" si="10"/>
        <v>718.19999999999993</v>
      </c>
      <c r="Q55" s="39">
        <f t="shared" si="13"/>
        <v>15.063000000000001</v>
      </c>
      <c r="R55" s="144">
        <f t="shared" si="14"/>
        <v>1.5681222707423579</v>
      </c>
      <c r="S55" s="128">
        <f t="shared" si="8"/>
        <v>0.73174641729414625</v>
      </c>
      <c r="T55" s="145">
        <f t="shared" si="11"/>
        <v>6919.9</v>
      </c>
      <c r="U55" s="80"/>
      <c r="V55" s="80"/>
      <c r="W55" s="87"/>
      <c r="X55" s="87"/>
      <c r="Y55" s="87"/>
      <c r="Z55" s="87"/>
      <c r="AA55" s="87"/>
      <c r="AB55" s="87"/>
      <c r="AC55" s="87"/>
      <c r="AD55" s="87"/>
      <c r="AE55" s="87"/>
      <c r="AF55" s="87"/>
      <c r="AG55" s="87"/>
      <c r="AH55" s="87"/>
      <c r="AI55" s="87"/>
      <c r="AJ55" s="87"/>
      <c r="AK55" s="87"/>
      <c r="AL55" s="87"/>
      <c r="AM55" s="87"/>
      <c r="AN55" s="87"/>
      <c r="AO55" s="87"/>
      <c r="AP55" s="87"/>
      <c r="AQ55" s="87"/>
      <c r="AR55" s="87"/>
      <c r="AS55" s="87"/>
      <c r="AT55" s="87"/>
      <c r="AU55" s="87"/>
      <c r="AV55" s="87"/>
      <c r="AW55" s="87"/>
      <c r="AX55" s="87"/>
      <c r="AY55" s="87"/>
      <c r="AZ55" s="87"/>
      <c r="BA55" s="87"/>
      <c r="BB55" s="87"/>
      <c r="BC55" s="87"/>
      <c r="BD55" s="87"/>
      <c r="BE55" s="87"/>
      <c r="BF55" s="87"/>
      <c r="BG55" s="87"/>
      <c r="BH55" s="87"/>
      <c r="BI55" s="87"/>
      <c r="BJ55" s="87"/>
      <c r="BK55" s="87"/>
      <c r="BL55" s="87"/>
      <c r="BM55" s="87"/>
      <c r="BN55" s="87"/>
      <c r="BO55" s="87"/>
      <c r="BP55" s="87"/>
      <c r="BQ55" s="87"/>
      <c r="BR55" s="87"/>
      <c r="BS55" s="87"/>
      <c r="BT55" s="87"/>
    </row>
    <row r="56" spans="1:72" ht="18.75">
      <c r="A56" s="7" t="s">
        <v>92</v>
      </c>
      <c r="B56" s="89">
        <v>475</v>
      </c>
      <c r="C56" s="51">
        <v>1506.6</v>
      </c>
      <c r="D56" s="51">
        <v>455</v>
      </c>
      <c r="E56" s="42">
        <v>634.79999999999995</v>
      </c>
      <c r="F56" s="42">
        <v>161.1</v>
      </c>
      <c r="G56" s="42">
        <v>64.099999999999994</v>
      </c>
      <c r="H56" s="64"/>
      <c r="I56" s="64"/>
      <c r="J56" s="42">
        <v>34.4</v>
      </c>
      <c r="K56" s="42">
        <v>4343.3999999999996</v>
      </c>
      <c r="L56" s="123">
        <f t="shared" si="12"/>
        <v>7199.4</v>
      </c>
      <c r="M56" s="42">
        <v>22.4</v>
      </c>
      <c r="N56" s="39">
        <f t="shared" si="9"/>
        <v>860</v>
      </c>
      <c r="O56" s="42">
        <v>34.4</v>
      </c>
      <c r="P56" s="92">
        <f t="shared" si="10"/>
        <v>894.4</v>
      </c>
      <c r="Q56" s="39">
        <f t="shared" si="13"/>
        <v>15.157</v>
      </c>
      <c r="R56" s="144">
        <f t="shared" si="14"/>
        <v>1.8829473684210525</v>
      </c>
      <c r="S56" s="128">
        <f t="shared" si="8"/>
        <v>0.73631284916201112</v>
      </c>
      <c r="T56" s="145">
        <f t="shared" si="11"/>
        <v>7221.7999999999993</v>
      </c>
    </row>
    <row r="57" spans="1:72" ht="18.75">
      <c r="A57" s="7" t="s">
        <v>93</v>
      </c>
      <c r="B57" s="89">
        <v>216</v>
      </c>
      <c r="C57" s="51">
        <v>874.7</v>
      </c>
      <c r="D57" s="51">
        <v>264.2</v>
      </c>
      <c r="E57" s="42">
        <v>157.19999999999999</v>
      </c>
      <c r="F57" s="42">
        <v>114.80000000000001</v>
      </c>
      <c r="G57" s="42">
        <v>29.4</v>
      </c>
      <c r="H57" s="64"/>
      <c r="I57" s="64"/>
      <c r="J57" s="42">
        <v>26.6</v>
      </c>
      <c r="K57" s="42">
        <v>1986.4</v>
      </c>
      <c r="L57" s="123">
        <f t="shared" si="12"/>
        <v>3453.3</v>
      </c>
      <c r="M57" s="42">
        <v>14</v>
      </c>
      <c r="N57" s="39">
        <f t="shared" si="9"/>
        <v>301.39999999999998</v>
      </c>
      <c r="O57" s="42">
        <v>26.6</v>
      </c>
      <c r="P57" s="92">
        <f t="shared" si="10"/>
        <v>328</v>
      </c>
      <c r="Q57" s="39">
        <f t="shared" si="13"/>
        <v>15.988</v>
      </c>
      <c r="R57" s="144">
        <f t="shared" si="14"/>
        <v>1.5185185185185186</v>
      </c>
      <c r="S57" s="128">
        <f t="shared" si="8"/>
        <v>0.7766820500364342</v>
      </c>
      <c r="T57" s="145">
        <f t="shared" si="11"/>
        <v>3467.3</v>
      </c>
    </row>
    <row r="58" spans="1:72" s="107" customFormat="1" ht="18.75">
      <c r="A58" s="120">
        <v>235</v>
      </c>
      <c r="B58" s="106">
        <v>171</v>
      </c>
      <c r="C58" s="52">
        <v>899.9</v>
      </c>
      <c r="D58" s="52">
        <v>271.8</v>
      </c>
      <c r="E58" s="42">
        <v>234.3</v>
      </c>
      <c r="F58" s="42">
        <v>41.5</v>
      </c>
      <c r="G58" s="42">
        <v>20.399999999999999</v>
      </c>
      <c r="H58" s="66"/>
      <c r="I58" s="66"/>
      <c r="J58" s="42">
        <v>26.6</v>
      </c>
      <c r="K58" s="42">
        <v>1604.7</v>
      </c>
      <c r="L58" s="123">
        <f t="shared" si="12"/>
        <v>3099.2</v>
      </c>
      <c r="M58" s="42">
        <v>9.8000000000000007</v>
      </c>
      <c r="N58" s="39">
        <f t="shared" si="9"/>
        <v>296.2</v>
      </c>
      <c r="O58" s="42">
        <v>26.6</v>
      </c>
      <c r="P58" s="92">
        <f t="shared" si="10"/>
        <v>322.8</v>
      </c>
      <c r="Q58" s="39">
        <f t="shared" si="13"/>
        <v>18.123999999999999</v>
      </c>
      <c r="R58" s="144">
        <f t="shared" si="14"/>
        <v>1.8877192982456141</v>
      </c>
      <c r="S58" s="128">
        <f t="shared" si="8"/>
        <v>0.88044692737430164</v>
      </c>
      <c r="T58" s="145">
        <f t="shared" si="11"/>
        <v>3109</v>
      </c>
      <c r="U58" s="80"/>
      <c r="V58" s="80"/>
      <c r="W58" s="87"/>
      <c r="X58" s="87"/>
      <c r="Y58" s="87"/>
      <c r="Z58" s="87"/>
      <c r="AA58" s="87"/>
      <c r="AB58" s="87"/>
      <c r="AC58" s="87"/>
      <c r="AD58" s="87"/>
      <c r="AE58" s="87"/>
      <c r="AF58" s="87"/>
      <c r="AG58" s="87"/>
      <c r="AH58" s="87"/>
      <c r="AI58" s="87"/>
      <c r="AJ58" s="87"/>
      <c r="AK58" s="87"/>
      <c r="AL58" s="87"/>
      <c r="AM58" s="87"/>
      <c r="AN58" s="87"/>
      <c r="AO58" s="87"/>
      <c r="AP58" s="87"/>
      <c r="AQ58" s="87"/>
      <c r="AR58" s="87"/>
      <c r="AS58" s="87"/>
      <c r="AT58" s="87"/>
      <c r="AU58" s="87"/>
      <c r="AV58" s="87"/>
      <c r="AW58" s="87"/>
      <c r="AX58" s="87"/>
      <c r="AY58" s="87"/>
      <c r="AZ58" s="87"/>
      <c r="BA58" s="87"/>
      <c r="BB58" s="87"/>
      <c r="BC58" s="87"/>
      <c r="BD58" s="87"/>
      <c r="BE58" s="87"/>
      <c r="BF58" s="87"/>
      <c r="BG58" s="87"/>
      <c r="BH58" s="87"/>
      <c r="BI58" s="87"/>
      <c r="BJ58" s="87"/>
      <c r="BK58" s="87"/>
      <c r="BL58" s="87"/>
      <c r="BM58" s="87"/>
      <c r="BN58" s="87"/>
      <c r="BO58" s="87"/>
      <c r="BP58" s="87"/>
      <c r="BQ58" s="87"/>
      <c r="BR58" s="87"/>
      <c r="BS58" s="87"/>
      <c r="BT58" s="87"/>
    </row>
    <row r="59" spans="1:72" ht="18.75">
      <c r="A59" s="7" t="s">
        <v>94</v>
      </c>
      <c r="B59" s="89">
        <v>445</v>
      </c>
      <c r="C59" s="51">
        <v>1430.9</v>
      </c>
      <c r="D59" s="51">
        <v>432.1</v>
      </c>
      <c r="E59" s="42">
        <v>356.2</v>
      </c>
      <c r="F59" s="42">
        <v>97.1</v>
      </c>
      <c r="G59" s="42">
        <v>54.4</v>
      </c>
      <c r="H59" s="64"/>
      <c r="I59" s="64"/>
      <c r="J59" s="42">
        <v>34.4</v>
      </c>
      <c r="K59" s="42">
        <v>3777.1</v>
      </c>
      <c r="L59" s="123">
        <f t="shared" si="12"/>
        <v>6182.2</v>
      </c>
      <c r="M59" s="42">
        <v>21.2</v>
      </c>
      <c r="N59" s="39">
        <f t="shared" si="9"/>
        <v>507.69999999999993</v>
      </c>
      <c r="O59" s="42">
        <v>34.4</v>
      </c>
      <c r="P59" s="92">
        <f t="shared" si="10"/>
        <v>542.09999999999991</v>
      </c>
      <c r="Q59" s="39">
        <f t="shared" si="13"/>
        <v>13.893000000000001</v>
      </c>
      <c r="R59" s="144">
        <f t="shared" si="14"/>
        <v>1.218202247191011</v>
      </c>
      <c r="S59" s="128">
        <f t="shared" si="8"/>
        <v>0.67490891425795485</v>
      </c>
      <c r="T59" s="145">
        <f t="shared" si="11"/>
        <v>6203.4</v>
      </c>
    </row>
    <row r="60" spans="1:72" ht="18.75">
      <c r="A60" s="7" t="s">
        <v>95</v>
      </c>
      <c r="B60" s="89">
        <v>422</v>
      </c>
      <c r="C60" s="51">
        <v>1178.0999999999999</v>
      </c>
      <c r="D60" s="51">
        <v>355.8</v>
      </c>
      <c r="E60" s="42">
        <v>334.1</v>
      </c>
      <c r="F60" s="42">
        <v>126.3</v>
      </c>
      <c r="G60" s="42">
        <v>35.799999999999997</v>
      </c>
      <c r="H60" s="64"/>
      <c r="I60" s="64"/>
      <c r="J60" s="42">
        <v>32.299999999999997</v>
      </c>
      <c r="K60" s="42">
        <v>3807</v>
      </c>
      <c r="L60" s="123">
        <f t="shared" si="12"/>
        <v>5869.4</v>
      </c>
      <c r="M60" s="42">
        <v>20.399999999999999</v>
      </c>
      <c r="N60" s="39">
        <f t="shared" si="9"/>
        <v>496.20000000000005</v>
      </c>
      <c r="O60" s="42">
        <v>32.299999999999997</v>
      </c>
      <c r="P60" s="92">
        <f t="shared" si="10"/>
        <v>528.5</v>
      </c>
      <c r="Q60" s="39">
        <f t="shared" si="13"/>
        <v>13.909000000000001</v>
      </c>
      <c r="R60" s="144">
        <f t="shared" si="14"/>
        <v>1.2523696682464456</v>
      </c>
      <c r="S60" s="128">
        <f t="shared" si="8"/>
        <v>0.67568617925674035</v>
      </c>
      <c r="T60" s="145">
        <f t="shared" si="11"/>
        <v>5889.7999999999993</v>
      </c>
    </row>
    <row r="61" spans="1:72" ht="18.75">
      <c r="A61" s="7" t="s">
        <v>96</v>
      </c>
      <c r="B61" s="89">
        <v>161</v>
      </c>
      <c r="C61" s="51">
        <v>798.9</v>
      </c>
      <c r="D61" s="51">
        <v>241.3</v>
      </c>
      <c r="E61" s="42">
        <v>375.7</v>
      </c>
      <c r="F61" s="42">
        <v>27.9</v>
      </c>
      <c r="G61" s="42">
        <v>33.6</v>
      </c>
      <c r="H61" s="64"/>
      <c r="I61" s="64"/>
      <c r="J61" s="42">
        <v>26.6</v>
      </c>
      <c r="K61" s="42">
        <v>1586.2</v>
      </c>
      <c r="L61" s="123">
        <f t="shared" si="12"/>
        <v>3090.2</v>
      </c>
      <c r="M61" s="42">
        <v>7.8</v>
      </c>
      <c r="N61" s="39">
        <f t="shared" si="9"/>
        <v>437.2</v>
      </c>
      <c r="O61" s="42">
        <v>26.6</v>
      </c>
      <c r="P61" s="92">
        <f t="shared" si="10"/>
        <v>463.8</v>
      </c>
      <c r="Q61" s="39">
        <f t="shared" si="13"/>
        <v>19.193999999999999</v>
      </c>
      <c r="R61" s="144">
        <f t="shared" si="14"/>
        <v>2.8807453416149067</v>
      </c>
      <c r="S61" s="128">
        <f t="shared" si="8"/>
        <v>0.93242652416808347</v>
      </c>
      <c r="T61" s="145">
        <f t="shared" si="11"/>
        <v>3098</v>
      </c>
    </row>
    <row r="62" spans="1:72" s="107" customFormat="1" ht="18.75">
      <c r="A62" s="120">
        <v>40</v>
      </c>
      <c r="B62" s="106">
        <v>51</v>
      </c>
      <c r="C62" s="52">
        <v>706.1</v>
      </c>
      <c r="D62" s="52">
        <v>213.2</v>
      </c>
      <c r="E62" s="42">
        <v>89.4</v>
      </c>
      <c r="F62" s="42">
        <v>17.399999999999999</v>
      </c>
      <c r="G62" s="42">
        <v>10.8</v>
      </c>
      <c r="H62" s="66"/>
      <c r="I62" s="66"/>
      <c r="J62" s="42">
        <v>22.4</v>
      </c>
      <c r="K62" s="42">
        <v>1293.5999999999999</v>
      </c>
      <c r="L62" s="123">
        <f t="shared" si="12"/>
        <v>2352.9</v>
      </c>
      <c r="M62" s="42">
        <v>7.1</v>
      </c>
      <c r="N62" s="39">
        <f t="shared" si="9"/>
        <v>117.60000000000001</v>
      </c>
      <c r="O62" s="42">
        <v>22.4</v>
      </c>
      <c r="P62" s="92">
        <f t="shared" si="10"/>
        <v>140</v>
      </c>
      <c r="Q62" s="39">
        <f t="shared" si="13"/>
        <v>46.134999999999998</v>
      </c>
      <c r="R62" s="144">
        <f t="shared" si="14"/>
        <v>2.7450980392156863</v>
      </c>
      <c r="S62" s="128">
        <f t="shared" si="8"/>
        <v>2.2411950449356324</v>
      </c>
      <c r="T62" s="145">
        <f t="shared" si="11"/>
        <v>2360</v>
      </c>
      <c r="U62" s="80"/>
      <c r="V62" s="80"/>
      <c r="W62" s="87"/>
      <c r="X62" s="87"/>
      <c r="Y62" s="87"/>
      <c r="Z62" s="87"/>
      <c r="AA62" s="87"/>
      <c r="AB62" s="87"/>
      <c r="AC62" s="87"/>
      <c r="AD62" s="87"/>
      <c r="AE62" s="87"/>
      <c r="AF62" s="87"/>
      <c r="AG62" s="87"/>
      <c r="AH62" s="87"/>
      <c r="AI62" s="87"/>
      <c r="AJ62" s="87"/>
      <c r="AK62" s="87"/>
      <c r="AL62" s="87"/>
      <c r="AM62" s="87"/>
      <c r="AN62" s="87"/>
      <c r="AO62" s="87"/>
      <c r="AP62" s="87"/>
      <c r="AQ62" s="87"/>
      <c r="AR62" s="87"/>
      <c r="AS62" s="87"/>
      <c r="AT62" s="87"/>
      <c r="AU62" s="87"/>
      <c r="AV62" s="87"/>
      <c r="AW62" s="87"/>
      <c r="AX62" s="87"/>
      <c r="AY62" s="87"/>
      <c r="AZ62" s="87"/>
      <c r="BA62" s="87"/>
      <c r="BB62" s="87"/>
      <c r="BC62" s="87"/>
      <c r="BD62" s="87"/>
      <c r="BE62" s="87"/>
      <c r="BF62" s="87"/>
      <c r="BG62" s="87"/>
      <c r="BH62" s="87"/>
      <c r="BI62" s="87"/>
      <c r="BJ62" s="87"/>
      <c r="BK62" s="87"/>
      <c r="BL62" s="87"/>
      <c r="BM62" s="87"/>
      <c r="BN62" s="87"/>
      <c r="BO62" s="87"/>
      <c r="BP62" s="87"/>
      <c r="BQ62" s="87"/>
      <c r="BR62" s="87"/>
      <c r="BS62" s="87"/>
      <c r="BT62" s="87"/>
    </row>
    <row r="63" spans="1:72" ht="18.75">
      <c r="A63" s="7" t="s">
        <v>97</v>
      </c>
      <c r="B63" s="89">
        <v>164</v>
      </c>
      <c r="C63" s="51">
        <v>933.6</v>
      </c>
      <c r="D63" s="51">
        <v>281.89999999999998</v>
      </c>
      <c r="E63" s="42">
        <v>530.6</v>
      </c>
      <c r="F63" s="42">
        <v>35.6</v>
      </c>
      <c r="G63" s="42">
        <v>29.5</v>
      </c>
      <c r="H63" s="64"/>
      <c r="I63" s="64"/>
      <c r="J63" s="42">
        <v>26.6</v>
      </c>
      <c r="K63" s="42">
        <v>1463.3</v>
      </c>
      <c r="L63" s="123">
        <f t="shared" si="12"/>
        <v>3301.1</v>
      </c>
      <c r="M63" s="42">
        <v>6.2</v>
      </c>
      <c r="N63" s="39">
        <f t="shared" si="9"/>
        <v>595.70000000000005</v>
      </c>
      <c r="O63" s="42">
        <v>26.6</v>
      </c>
      <c r="P63" s="92">
        <f t="shared" si="10"/>
        <v>622.30000000000007</v>
      </c>
      <c r="Q63" s="39">
        <f t="shared" si="13"/>
        <v>20.129000000000001</v>
      </c>
      <c r="R63" s="144">
        <f t="shared" si="14"/>
        <v>3.7945121951219516</v>
      </c>
      <c r="S63" s="128">
        <f t="shared" si="8"/>
        <v>0.97784794753461257</v>
      </c>
      <c r="T63" s="145">
        <f t="shared" si="11"/>
        <v>3307.2999999999997</v>
      </c>
    </row>
    <row r="64" spans="1:72" s="107" customFormat="1" ht="18.75">
      <c r="A64" s="120">
        <v>55</v>
      </c>
      <c r="B64" s="106">
        <v>162</v>
      </c>
      <c r="C64" s="52">
        <v>933.6</v>
      </c>
      <c r="D64" s="52">
        <v>281.89999999999998</v>
      </c>
      <c r="E64" s="42">
        <v>144.6</v>
      </c>
      <c r="F64" s="42">
        <v>41.9</v>
      </c>
      <c r="G64" s="42">
        <v>13.5</v>
      </c>
      <c r="H64" s="66"/>
      <c r="I64" s="66"/>
      <c r="J64" s="42">
        <v>26.6</v>
      </c>
      <c r="K64" s="42">
        <v>3269.5</v>
      </c>
      <c r="L64" s="123">
        <f t="shared" si="12"/>
        <v>4711.6000000000004</v>
      </c>
      <c r="M64" s="42">
        <v>11.1</v>
      </c>
      <c r="N64" s="39">
        <f t="shared" si="9"/>
        <v>200</v>
      </c>
      <c r="O64" s="42">
        <v>26.6</v>
      </c>
      <c r="P64" s="92">
        <f t="shared" si="10"/>
        <v>226.6</v>
      </c>
      <c r="Q64" s="39">
        <f t="shared" si="13"/>
        <v>29.084</v>
      </c>
      <c r="R64" s="144">
        <f t="shared" si="14"/>
        <v>1.3987654320987655</v>
      </c>
      <c r="S64" s="128">
        <f t="shared" si="8"/>
        <v>1.4128734515423851</v>
      </c>
      <c r="T64" s="145">
        <f t="shared" si="11"/>
        <v>4722.7000000000007</v>
      </c>
      <c r="U64" s="80"/>
      <c r="V64" s="80"/>
      <c r="W64" s="87"/>
      <c r="X64" s="87"/>
      <c r="Y64" s="87"/>
      <c r="Z64" s="87"/>
      <c r="AA64" s="87"/>
      <c r="AB64" s="87"/>
      <c r="AC64" s="87"/>
      <c r="AD64" s="87"/>
      <c r="AE64" s="87"/>
      <c r="AF64" s="87"/>
      <c r="AG64" s="87"/>
      <c r="AH64" s="87"/>
      <c r="AI64" s="87"/>
      <c r="AJ64" s="87"/>
      <c r="AK64" s="87"/>
      <c r="AL64" s="87"/>
      <c r="AM64" s="87"/>
      <c r="AN64" s="87"/>
      <c r="AO64" s="87"/>
      <c r="AP64" s="87"/>
      <c r="AQ64" s="87"/>
      <c r="AR64" s="87"/>
      <c r="AS64" s="87"/>
      <c r="AT64" s="87"/>
      <c r="AU64" s="87"/>
      <c r="AV64" s="87"/>
      <c r="AW64" s="87"/>
      <c r="AX64" s="87"/>
      <c r="AY64" s="87"/>
      <c r="AZ64" s="87"/>
      <c r="BA64" s="87"/>
      <c r="BB64" s="87"/>
      <c r="BC64" s="87"/>
      <c r="BD64" s="87"/>
      <c r="BE64" s="87"/>
      <c r="BF64" s="87"/>
      <c r="BG64" s="87"/>
      <c r="BH64" s="87"/>
      <c r="BI64" s="87"/>
      <c r="BJ64" s="87"/>
      <c r="BK64" s="87"/>
      <c r="BL64" s="87"/>
      <c r="BM64" s="87"/>
      <c r="BN64" s="87"/>
      <c r="BO64" s="87"/>
      <c r="BP64" s="87"/>
      <c r="BQ64" s="87"/>
      <c r="BR64" s="87"/>
      <c r="BS64" s="87"/>
      <c r="BT64" s="87"/>
    </row>
    <row r="65" spans="1:72" ht="18.75">
      <c r="A65" s="7" t="s">
        <v>98</v>
      </c>
      <c r="B65" s="89">
        <v>187</v>
      </c>
      <c r="C65" s="51">
        <v>1387</v>
      </c>
      <c r="D65" s="51">
        <v>418.9</v>
      </c>
      <c r="E65" s="42">
        <v>191.8</v>
      </c>
      <c r="F65" s="42">
        <v>36</v>
      </c>
      <c r="G65" s="42">
        <v>15.1</v>
      </c>
      <c r="H65" s="64"/>
      <c r="I65" s="64"/>
      <c r="J65" s="42">
        <v>28.4</v>
      </c>
      <c r="K65" s="42">
        <v>1623.3</v>
      </c>
      <c r="L65" s="123">
        <f t="shared" si="12"/>
        <v>3700.5</v>
      </c>
      <c r="M65" s="42">
        <v>18.5</v>
      </c>
      <c r="N65" s="39">
        <f t="shared" si="9"/>
        <v>242.9</v>
      </c>
      <c r="O65" s="42">
        <v>28.4</v>
      </c>
      <c r="P65" s="92">
        <f t="shared" si="10"/>
        <v>271.3</v>
      </c>
      <c r="Q65" s="39">
        <f t="shared" si="13"/>
        <v>19.789000000000001</v>
      </c>
      <c r="R65" s="144">
        <f t="shared" si="14"/>
        <v>1.4508021390374333</v>
      </c>
      <c r="S65" s="128">
        <f t="shared" si="8"/>
        <v>0.9613310663104202</v>
      </c>
      <c r="T65" s="145">
        <f t="shared" si="11"/>
        <v>3719</v>
      </c>
    </row>
    <row r="66" spans="1:72" ht="18.75">
      <c r="A66" s="7" t="s">
        <v>99</v>
      </c>
      <c r="B66" s="89">
        <v>178</v>
      </c>
      <c r="C66" s="51">
        <v>1001</v>
      </c>
      <c r="D66" s="51">
        <v>302.3</v>
      </c>
      <c r="E66" s="42">
        <v>204.4</v>
      </c>
      <c r="F66" s="42">
        <v>36.6</v>
      </c>
      <c r="G66" s="42">
        <v>22.7</v>
      </c>
      <c r="H66" s="64"/>
      <c r="I66" s="64"/>
      <c r="J66" s="42">
        <v>26.6</v>
      </c>
      <c r="K66" s="42">
        <v>1640.6</v>
      </c>
      <c r="L66" s="123">
        <f t="shared" si="12"/>
        <v>3234.2</v>
      </c>
      <c r="M66" s="42">
        <v>9.4</v>
      </c>
      <c r="N66" s="39">
        <f t="shared" si="9"/>
        <v>263.7</v>
      </c>
      <c r="O66" s="42">
        <v>26.6</v>
      </c>
      <c r="P66" s="92">
        <f t="shared" si="10"/>
        <v>290.3</v>
      </c>
      <c r="Q66" s="39">
        <f t="shared" si="13"/>
        <v>18.170000000000002</v>
      </c>
      <c r="R66" s="144">
        <f t="shared" si="14"/>
        <v>1.6308988764044945</v>
      </c>
      <c r="S66" s="128">
        <f t="shared" si="8"/>
        <v>0.88268156424581012</v>
      </c>
      <c r="T66" s="145">
        <f t="shared" si="11"/>
        <v>3243.6</v>
      </c>
    </row>
    <row r="67" spans="1:72" ht="18.75">
      <c r="A67" s="7" t="s">
        <v>100</v>
      </c>
      <c r="B67" s="89">
        <v>265</v>
      </c>
      <c r="C67" s="51">
        <v>1312.9</v>
      </c>
      <c r="D67" s="51">
        <v>396.5</v>
      </c>
      <c r="E67" s="42">
        <v>298.7</v>
      </c>
      <c r="F67" s="42">
        <v>70.8</v>
      </c>
      <c r="G67" s="42">
        <v>38</v>
      </c>
      <c r="H67" s="64"/>
      <c r="I67" s="64"/>
      <c r="J67" s="42">
        <v>29</v>
      </c>
      <c r="K67" s="42">
        <v>2432.4</v>
      </c>
      <c r="L67" s="123">
        <f t="shared" si="12"/>
        <v>4578.3</v>
      </c>
      <c r="M67" s="42">
        <v>12.5</v>
      </c>
      <c r="N67" s="39">
        <f t="shared" si="9"/>
        <v>407.5</v>
      </c>
      <c r="O67" s="42">
        <v>29</v>
      </c>
      <c r="P67" s="92">
        <f t="shared" si="10"/>
        <v>436.5</v>
      </c>
      <c r="Q67" s="39">
        <f t="shared" si="13"/>
        <v>17.277000000000001</v>
      </c>
      <c r="R67" s="144">
        <f t="shared" si="14"/>
        <v>1.6471698113207547</v>
      </c>
      <c r="S67" s="128">
        <f t="shared" si="8"/>
        <v>0.83930046150109305</v>
      </c>
      <c r="T67" s="145">
        <f t="shared" si="11"/>
        <v>4590.8</v>
      </c>
    </row>
    <row r="68" spans="1:72" s="107" customFormat="1" ht="18.75">
      <c r="A68" s="120">
        <v>115</v>
      </c>
      <c r="B68" s="106">
        <v>58</v>
      </c>
      <c r="C68" s="52">
        <v>706.1</v>
      </c>
      <c r="D68" s="52">
        <v>213.2</v>
      </c>
      <c r="E68" s="42">
        <v>141.5</v>
      </c>
      <c r="F68" s="42">
        <v>26.7</v>
      </c>
      <c r="G68" s="42">
        <v>8.9</v>
      </c>
      <c r="H68" s="66"/>
      <c r="I68" s="66"/>
      <c r="J68" s="42">
        <v>22.4</v>
      </c>
      <c r="K68" s="42">
        <v>698.4</v>
      </c>
      <c r="L68" s="123">
        <f t="shared" si="12"/>
        <v>1817.2</v>
      </c>
      <c r="M68" s="42">
        <v>9.4</v>
      </c>
      <c r="N68" s="39">
        <f t="shared" si="9"/>
        <v>177.1</v>
      </c>
      <c r="O68" s="42">
        <v>22.4</v>
      </c>
      <c r="P68" s="92">
        <f t="shared" si="10"/>
        <v>199.5</v>
      </c>
      <c r="Q68" s="39">
        <f t="shared" si="13"/>
        <v>31.331</v>
      </c>
      <c r="R68" s="144">
        <f t="shared" si="14"/>
        <v>3.4396551724137931</v>
      </c>
      <c r="S68" s="128">
        <f t="shared" si="8"/>
        <v>1.5220306048093271</v>
      </c>
      <c r="T68" s="145">
        <f t="shared" si="11"/>
        <v>1826.6000000000001</v>
      </c>
      <c r="U68" s="80"/>
      <c r="V68" s="80"/>
      <c r="W68" s="87"/>
      <c r="X68" s="87"/>
      <c r="Y68" s="87"/>
      <c r="Z68" s="87"/>
      <c r="AA68" s="87"/>
      <c r="AB68" s="87"/>
      <c r="AC68" s="87"/>
      <c r="AD68" s="87"/>
      <c r="AE68" s="87"/>
      <c r="AF68" s="87"/>
      <c r="AG68" s="87"/>
      <c r="AH68" s="87"/>
      <c r="AI68" s="87"/>
      <c r="AJ68" s="87"/>
      <c r="AK68" s="87"/>
      <c r="AL68" s="87"/>
      <c r="AM68" s="87"/>
      <c r="AN68" s="87"/>
      <c r="AO68" s="87"/>
      <c r="AP68" s="87"/>
      <c r="AQ68" s="87"/>
      <c r="AR68" s="87"/>
      <c r="AS68" s="87"/>
      <c r="AT68" s="87"/>
      <c r="AU68" s="87"/>
      <c r="AV68" s="87"/>
      <c r="AW68" s="87"/>
      <c r="AX68" s="87"/>
      <c r="AY68" s="87"/>
      <c r="AZ68" s="87"/>
      <c r="BA68" s="87"/>
      <c r="BB68" s="87"/>
      <c r="BC68" s="87"/>
      <c r="BD68" s="87"/>
      <c r="BE68" s="87"/>
      <c r="BF68" s="87"/>
      <c r="BG68" s="87"/>
      <c r="BH68" s="87"/>
      <c r="BI68" s="87"/>
      <c r="BJ68" s="87"/>
      <c r="BK68" s="87"/>
      <c r="BL68" s="87"/>
      <c r="BM68" s="87"/>
      <c r="BN68" s="87"/>
      <c r="BO68" s="87"/>
      <c r="BP68" s="87"/>
      <c r="BQ68" s="87"/>
      <c r="BR68" s="87"/>
      <c r="BS68" s="87"/>
      <c r="BT68" s="87"/>
    </row>
    <row r="69" spans="1:72" ht="18.75">
      <c r="A69" s="7" t="s">
        <v>101</v>
      </c>
      <c r="B69" s="89">
        <v>190</v>
      </c>
      <c r="C69" s="51">
        <v>1076.9000000000001</v>
      </c>
      <c r="D69" s="51">
        <v>325.2</v>
      </c>
      <c r="E69" s="42">
        <v>227.9</v>
      </c>
      <c r="F69" s="42">
        <v>28.5</v>
      </c>
      <c r="G69" s="42">
        <v>17</v>
      </c>
      <c r="H69" s="64"/>
      <c r="I69" s="64"/>
      <c r="J69" s="42">
        <v>26.6</v>
      </c>
      <c r="K69" s="42">
        <v>1827.6</v>
      </c>
      <c r="L69" s="123">
        <f t="shared" si="12"/>
        <v>3529.7</v>
      </c>
      <c r="M69" s="42">
        <v>10.3</v>
      </c>
      <c r="N69" s="39">
        <f t="shared" si="9"/>
        <v>273.39999999999998</v>
      </c>
      <c r="O69" s="42">
        <v>26.6</v>
      </c>
      <c r="P69" s="92">
        <f t="shared" si="10"/>
        <v>300</v>
      </c>
      <c r="Q69" s="39">
        <f t="shared" si="13"/>
        <v>18.577000000000002</v>
      </c>
      <c r="R69" s="144">
        <f t="shared" si="14"/>
        <v>1.5789473684210527</v>
      </c>
      <c r="S69" s="128">
        <f t="shared" si="8"/>
        <v>0.90245324265241689</v>
      </c>
      <c r="T69" s="145">
        <f t="shared" si="11"/>
        <v>3540</v>
      </c>
    </row>
    <row r="70" spans="1:72" ht="18.75">
      <c r="A70" s="7" t="s">
        <v>102</v>
      </c>
      <c r="B70" s="89">
        <v>186</v>
      </c>
      <c r="C70" s="51">
        <v>942.1</v>
      </c>
      <c r="D70" s="51">
        <v>284.5</v>
      </c>
      <c r="E70" s="42">
        <v>98.3</v>
      </c>
      <c r="F70" s="42">
        <v>32.299999999999997</v>
      </c>
      <c r="G70" s="42">
        <v>17.7</v>
      </c>
      <c r="H70" s="64"/>
      <c r="I70" s="64"/>
      <c r="J70" s="42">
        <v>26.6</v>
      </c>
      <c r="K70" s="42">
        <v>1561.1</v>
      </c>
      <c r="L70" s="123">
        <f t="shared" si="12"/>
        <v>2962.6</v>
      </c>
      <c r="M70" s="42">
        <v>11.2</v>
      </c>
      <c r="N70" s="39">
        <f t="shared" si="9"/>
        <v>148.29999999999998</v>
      </c>
      <c r="O70" s="42">
        <v>26.6</v>
      </c>
      <c r="P70" s="92">
        <f t="shared" si="10"/>
        <v>174.89999999999998</v>
      </c>
      <c r="Q70" s="39">
        <f t="shared" si="13"/>
        <v>15.928000000000001</v>
      </c>
      <c r="R70" s="144">
        <f t="shared" si="14"/>
        <v>0.94032258064516117</v>
      </c>
      <c r="S70" s="128">
        <f t="shared" si="8"/>
        <v>0.77376730629098855</v>
      </c>
      <c r="T70" s="145">
        <f t="shared" si="11"/>
        <v>2973.7999999999997</v>
      </c>
    </row>
    <row r="71" spans="1:72" ht="18.75">
      <c r="A71" s="7" t="s">
        <v>103</v>
      </c>
      <c r="B71" s="89">
        <v>127</v>
      </c>
      <c r="C71" s="51">
        <v>891.6</v>
      </c>
      <c r="D71" s="51">
        <v>269.3</v>
      </c>
      <c r="E71" s="42">
        <v>113.9</v>
      </c>
      <c r="F71" s="42">
        <v>42.3</v>
      </c>
      <c r="G71" s="42">
        <v>15.3</v>
      </c>
      <c r="H71" s="64"/>
      <c r="I71" s="64"/>
      <c r="J71" s="42">
        <v>25.9</v>
      </c>
      <c r="K71" s="42">
        <v>1276.8</v>
      </c>
      <c r="L71" s="123">
        <f t="shared" si="12"/>
        <v>2635.1</v>
      </c>
      <c r="M71" s="42">
        <v>12.4</v>
      </c>
      <c r="N71" s="39">
        <f t="shared" si="9"/>
        <v>171.5</v>
      </c>
      <c r="O71" s="42">
        <v>25.9</v>
      </c>
      <c r="P71" s="92">
        <f t="shared" si="10"/>
        <v>197.4</v>
      </c>
      <c r="Q71" s="39">
        <f t="shared" si="13"/>
        <v>20.748999999999999</v>
      </c>
      <c r="R71" s="144">
        <f t="shared" si="14"/>
        <v>1.5543307086614173</v>
      </c>
      <c r="S71" s="128">
        <f t="shared" si="8"/>
        <v>1.0079669662375514</v>
      </c>
      <c r="T71" s="145">
        <f t="shared" si="11"/>
        <v>2647.5</v>
      </c>
    </row>
    <row r="72" spans="1:72" ht="18.75">
      <c r="A72" s="7" t="s">
        <v>104</v>
      </c>
      <c r="B72" s="89">
        <v>222</v>
      </c>
      <c r="C72" s="51">
        <v>1085.4000000000001</v>
      </c>
      <c r="D72" s="51">
        <v>327.8</v>
      </c>
      <c r="E72" s="42">
        <v>171</v>
      </c>
      <c r="F72" s="42">
        <v>107.69999999999999</v>
      </c>
      <c r="G72" s="42">
        <v>17</v>
      </c>
      <c r="H72" s="64"/>
      <c r="I72" s="64"/>
      <c r="J72" s="42">
        <v>26.6</v>
      </c>
      <c r="K72" s="42">
        <v>2043.9</v>
      </c>
      <c r="L72" s="123">
        <f t="shared" si="12"/>
        <v>3779.4</v>
      </c>
      <c r="M72" s="42">
        <v>9.8000000000000007</v>
      </c>
      <c r="N72" s="39">
        <f t="shared" si="9"/>
        <v>295.7</v>
      </c>
      <c r="O72" s="42">
        <v>26.6</v>
      </c>
      <c r="P72" s="92">
        <f t="shared" si="10"/>
        <v>322.3</v>
      </c>
      <c r="Q72" s="39">
        <f t="shared" si="13"/>
        <v>17.024000000000001</v>
      </c>
      <c r="R72" s="144">
        <f t="shared" si="14"/>
        <v>1.451801801801802</v>
      </c>
      <c r="S72" s="128">
        <f t="shared" si="8"/>
        <v>0.82700995870779692</v>
      </c>
      <c r="T72" s="145">
        <f t="shared" si="11"/>
        <v>3789.2000000000003</v>
      </c>
    </row>
    <row r="73" spans="1:72" ht="18.75">
      <c r="A73" s="7" t="s">
        <v>105</v>
      </c>
      <c r="B73" s="89">
        <v>118</v>
      </c>
      <c r="C73" s="51">
        <v>798.9</v>
      </c>
      <c r="D73" s="51">
        <v>241.3</v>
      </c>
      <c r="E73" s="42">
        <v>149.4</v>
      </c>
      <c r="F73" s="42">
        <v>31.6</v>
      </c>
      <c r="G73" s="42">
        <v>11.9</v>
      </c>
      <c r="H73" s="64"/>
      <c r="I73" s="64"/>
      <c r="J73" s="42">
        <v>22.4</v>
      </c>
      <c r="K73" s="42">
        <v>1098.0999999999999</v>
      </c>
      <c r="L73" s="123">
        <f t="shared" si="12"/>
        <v>2353.6</v>
      </c>
      <c r="M73" s="42">
        <v>6.5</v>
      </c>
      <c r="N73" s="39">
        <f t="shared" si="9"/>
        <v>192.9</v>
      </c>
      <c r="O73" s="42">
        <v>22.4</v>
      </c>
      <c r="P73" s="92">
        <f t="shared" si="10"/>
        <v>215.3</v>
      </c>
      <c r="Q73" s="39">
        <f t="shared" si="13"/>
        <v>19.946000000000002</v>
      </c>
      <c r="R73" s="144">
        <f t="shared" si="14"/>
        <v>1.8245762711864408</v>
      </c>
      <c r="S73" s="128">
        <f t="shared" si="8"/>
        <v>0.96895797911100323</v>
      </c>
      <c r="T73" s="145">
        <f t="shared" si="11"/>
        <v>2360.1</v>
      </c>
    </row>
    <row r="74" spans="1:72" ht="18.75">
      <c r="A74" s="7" t="s">
        <v>106</v>
      </c>
      <c r="B74" s="89">
        <v>188</v>
      </c>
      <c r="C74" s="51">
        <v>1043.2</v>
      </c>
      <c r="D74" s="51">
        <v>315</v>
      </c>
      <c r="E74" s="42">
        <v>188.7</v>
      </c>
      <c r="F74" s="42">
        <v>53.6</v>
      </c>
      <c r="G74" s="42">
        <v>27.6</v>
      </c>
      <c r="H74" s="64"/>
      <c r="I74" s="64"/>
      <c r="J74" s="42">
        <v>26.6</v>
      </c>
      <c r="K74" s="42">
        <v>1696.1</v>
      </c>
      <c r="L74" s="123">
        <f t="shared" si="12"/>
        <v>3350.8</v>
      </c>
      <c r="M74" s="42">
        <v>12.5</v>
      </c>
      <c r="N74" s="39">
        <f t="shared" si="9"/>
        <v>269.89999999999998</v>
      </c>
      <c r="O74" s="42">
        <v>26.6</v>
      </c>
      <c r="P74" s="92">
        <f t="shared" si="10"/>
        <v>296.5</v>
      </c>
      <c r="Q74" s="39">
        <f t="shared" si="13"/>
        <v>17.823</v>
      </c>
      <c r="R74" s="144">
        <f t="shared" si="14"/>
        <v>1.5771276595744681</v>
      </c>
      <c r="S74" s="128">
        <f t="shared" si="8"/>
        <v>0.86582462958464901</v>
      </c>
      <c r="T74" s="145">
        <f t="shared" si="11"/>
        <v>3363.3</v>
      </c>
    </row>
    <row r="75" spans="1:72" ht="18.75">
      <c r="A75" s="7" t="s">
        <v>107</v>
      </c>
      <c r="B75" s="89">
        <v>182</v>
      </c>
      <c r="C75" s="51">
        <v>1043.2</v>
      </c>
      <c r="D75" s="51">
        <v>315</v>
      </c>
      <c r="E75" s="42">
        <v>200.4</v>
      </c>
      <c r="F75" s="42">
        <v>34.4</v>
      </c>
      <c r="G75" s="42">
        <v>29.1</v>
      </c>
      <c r="H75" s="64"/>
      <c r="I75" s="64"/>
      <c r="J75" s="42">
        <v>26.6</v>
      </c>
      <c r="K75" s="42">
        <v>1650.6</v>
      </c>
      <c r="L75" s="123">
        <f t="shared" si="12"/>
        <v>3299.3</v>
      </c>
      <c r="M75" s="42">
        <v>9.6999999999999993</v>
      </c>
      <c r="N75" s="39">
        <f t="shared" si="9"/>
        <v>263.90000000000003</v>
      </c>
      <c r="O75" s="42">
        <v>26.6</v>
      </c>
      <c r="P75" s="92">
        <f t="shared" si="10"/>
        <v>290.50000000000006</v>
      </c>
      <c r="Q75" s="39">
        <f t="shared" si="13"/>
        <v>18.128</v>
      </c>
      <c r="R75" s="144">
        <f t="shared" si="14"/>
        <v>1.5961538461538465</v>
      </c>
      <c r="S75" s="128">
        <f t="shared" si="8"/>
        <v>0.88064124362399798</v>
      </c>
      <c r="T75" s="145">
        <f t="shared" si="11"/>
        <v>3309</v>
      </c>
    </row>
    <row r="76" spans="1:72" s="107" customFormat="1" ht="18.75">
      <c r="A76" s="120">
        <v>159</v>
      </c>
      <c r="B76" s="106">
        <v>70</v>
      </c>
      <c r="C76" s="52">
        <v>857.8</v>
      </c>
      <c r="D76" s="52">
        <v>259.10000000000002</v>
      </c>
      <c r="E76" s="42">
        <v>165.1</v>
      </c>
      <c r="F76" s="42">
        <v>34.1</v>
      </c>
      <c r="G76" s="42">
        <v>10</v>
      </c>
      <c r="H76" s="66"/>
      <c r="I76" s="66"/>
      <c r="J76" s="42">
        <v>25.9</v>
      </c>
      <c r="K76" s="42">
        <v>1039.8</v>
      </c>
      <c r="L76" s="123">
        <f t="shared" si="12"/>
        <v>2391.8000000000002</v>
      </c>
      <c r="M76" s="42">
        <v>10</v>
      </c>
      <c r="N76" s="39">
        <f t="shared" si="9"/>
        <v>209.2</v>
      </c>
      <c r="O76" s="42">
        <v>25.9</v>
      </c>
      <c r="P76" s="92">
        <f t="shared" si="10"/>
        <v>235.1</v>
      </c>
      <c r="Q76" s="39">
        <f t="shared" si="13"/>
        <v>34.168999999999997</v>
      </c>
      <c r="R76" s="144">
        <f t="shared" si="14"/>
        <v>3.3585714285714285</v>
      </c>
      <c r="S76" s="128">
        <f t="shared" si="8"/>
        <v>1.6598979839689092</v>
      </c>
      <c r="T76" s="145">
        <f t="shared" si="11"/>
        <v>2401.8000000000002</v>
      </c>
      <c r="U76" s="80"/>
      <c r="V76" s="80"/>
      <c r="W76" s="87"/>
      <c r="X76" s="87"/>
      <c r="Y76" s="87"/>
      <c r="Z76" s="87"/>
      <c r="AA76" s="87"/>
      <c r="AB76" s="87"/>
      <c r="AC76" s="87"/>
      <c r="AD76" s="87"/>
      <c r="AE76" s="87"/>
      <c r="AF76" s="87"/>
      <c r="AG76" s="87"/>
      <c r="AH76" s="87"/>
      <c r="AI76" s="87"/>
      <c r="AJ76" s="87"/>
      <c r="AK76" s="87"/>
      <c r="AL76" s="87"/>
      <c r="AM76" s="87"/>
      <c r="AN76" s="87"/>
      <c r="AO76" s="87"/>
      <c r="AP76" s="87"/>
      <c r="AQ76" s="87"/>
      <c r="AR76" s="87"/>
      <c r="AS76" s="87"/>
      <c r="AT76" s="87"/>
      <c r="AU76" s="87"/>
      <c r="AV76" s="87"/>
      <c r="AW76" s="87"/>
      <c r="AX76" s="87"/>
      <c r="AY76" s="87"/>
      <c r="AZ76" s="87"/>
      <c r="BA76" s="87"/>
      <c r="BB76" s="87"/>
      <c r="BC76" s="87"/>
      <c r="BD76" s="87"/>
      <c r="BE76" s="87"/>
      <c r="BF76" s="87"/>
      <c r="BG76" s="87"/>
      <c r="BH76" s="87"/>
      <c r="BI76" s="87"/>
      <c r="BJ76" s="87"/>
      <c r="BK76" s="87"/>
      <c r="BL76" s="87"/>
      <c r="BM76" s="87"/>
      <c r="BN76" s="87"/>
      <c r="BO76" s="87"/>
      <c r="BP76" s="87"/>
      <c r="BQ76" s="87"/>
      <c r="BR76" s="87"/>
      <c r="BS76" s="87"/>
      <c r="BT76" s="87"/>
    </row>
    <row r="77" spans="1:72" ht="18.75">
      <c r="A77" s="7" t="s">
        <v>108</v>
      </c>
      <c r="B77" s="89">
        <v>195</v>
      </c>
      <c r="C77" s="51">
        <v>1026.4000000000001</v>
      </c>
      <c r="D77" s="51">
        <v>310</v>
      </c>
      <c r="E77" s="42">
        <v>193.8</v>
      </c>
      <c r="F77" s="42">
        <v>53.6</v>
      </c>
      <c r="G77" s="42">
        <v>26.7</v>
      </c>
      <c r="H77" s="64"/>
      <c r="I77" s="64"/>
      <c r="J77" s="42">
        <v>26.6</v>
      </c>
      <c r="K77" s="42">
        <v>1670</v>
      </c>
      <c r="L77" s="123">
        <f t="shared" si="12"/>
        <v>3307.1</v>
      </c>
      <c r="M77" s="42">
        <v>13.8</v>
      </c>
      <c r="N77" s="39">
        <f t="shared" si="9"/>
        <v>274.10000000000002</v>
      </c>
      <c r="O77" s="42">
        <v>26.6</v>
      </c>
      <c r="P77" s="92">
        <f t="shared" si="10"/>
        <v>300.70000000000005</v>
      </c>
      <c r="Q77" s="39">
        <f t="shared" si="13"/>
        <v>16.959</v>
      </c>
      <c r="R77" s="144">
        <f t="shared" si="14"/>
        <v>1.5420512820512824</v>
      </c>
      <c r="S77" s="128">
        <f t="shared" si="8"/>
        <v>0.82385231965023065</v>
      </c>
      <c r="T77" s="145">
        <f t="shared" si="11"/>
        <v>3320.9</v>
      </c>
    </row>
    <row r="78" spans="1:72" s="107" customFormat="1" ht="18.75">
      <c r="A78" s="120">
        <v>173</v>
      </c>
      <c r="B78" s="106">
        <v>105</v>
      </c>
      <c r="C78" s="52">
        <v>975.8</v>
      </c>
      <c r="D78" s="52">
        <v>294.7</v>
      </c>
      <c r="E78" s="42">
        <v>149.4</v>
      </c>
      <c r="F78" s="42">
        <v>53.1</v>
      </c>
      <c r="G78" s="42">
        <v>18</v>
      </c>
      <c r="H78" s="66"/>
      <c r="I78" s="66"/>
      <c r="J78" s="42">
        <v>26.6</v>
      </c>
      <c r="K78" s="42">
        <v>1158.3</v>
      </c>
      <c r="L78" s="123">
        <f t="shared" si="12"/>
        <v>2675.9</v>
      </c>
      <c r="M78" s="42">
        <v>9.6999999999999993</v>
      </c>
      <c r="N78" s="39">
        <f t="shared" si="9"/>
        <v>220.5</v>
      </c>
      <c r="O78" s="42">
        <v>26.6</v>
      </c>
      <c r="P78" s="92">
        <f t="shared" si="10"/>
        <v>247.1</v>
      </c>
      <c r="Q78" s="39">
        <f t="shared" si="13"/>
        <v>25.484999999999999</v>
      </c>
      <c r="R78" s="144">
        <f t="shared" si="14"/>
        <v>2.3533333333333335</v>
      </c>
      <c r="S78" s="128">
        <f t="shared" si="8"/>
        <v>1.2380374058780665</v>
      </c>
      <c r="T78" s="145">
        <f t="shared" si="11"/>
        <v>2685.6</v>
      </c>
      <c r="U78" s="80"/>
      <c r="V78" s="80"/>
      <c r="W78" s="87"/>
      <c r="X78" s="87"/>
      <c r="Y78" s="87"/>
      <c r="Z78" s="87"/>
      <c r="AA78" s="87"/>
      <c r="AB78" s="87"/>
      <c r="AC78" s="87"/>
      <c r="AD78" s="87"/>
      <c r="AE78" s="87"/>
      <c r="AF78" s="87"/>
      <c r="AG78" s="87"/>
      <c r="AH78" s="87"/>
      <c r="AI78" s="87"/>
      <c r="AJ78" s="87"/>
      <c r="AK78" s="87"/>
      <c r="AL78" s="87"/>
      <c r="AM78" s="87"/>
      <c r="AN78" s="87"/>
      <c r="AO78" s="87"/>
      <c r="AP78" s="87"/>
      <c r="AQ78" s="87"/>
      <c r="AR78" s="87"/>
      <c r="AS78" s="87"/>
      <c r="AT78" s="87"/>
      <c r="AU78" s="87"/>
      <c r="AV78" s="87"/>
      <c r="AW78" s="87"/>
      <c r="AX78" s="87"/>
      <c r="AY78" s="87"/>
      <c r="AZ78" s="87"/>
      <c r="BA78" s="87"/>
      <c r="BB78" s="87"/>
      <c r="BC78" s="87"/>
      <c r="BD78" s="87"/>
      <c r="BE78" s="87"/>
      <c r="BF78" s="87"/>
      <c r="BG78" s="87"/>
      <c r="BH78" s="87"/>
      <c r="BI78" s="87"/>
      <c r="BJ78" s="87"/>
      <c r="BK78" s="87"/>
      <c r="BL78" s="87"/>
      <c r="BM78" s="87"/>
      <c r="BN78" s="87"/>
      <c r="BO78" s="87"/>
      <c r="BP78" s="87"/>
      <c r="BQ78" s="87"/>
      <c r="BR78" s="87"/>
      <c r="BS78" s="87"/>
      <c r="BT78" s="87"/>
    </row>
    <row r="79" spans="1:72" ht="18.75">
      <c r="A79" s="7" t="s">
        <v>109</v>
      </c>
      <c r="B79" s="89">
        <v>166</v>
      </c>
      <c r="C79" s="51">
        <v>942.1</v>
      </c>
      <c r="D79" s="51">
        <v>284.5</v>
      </c>
      <c r="E79" s="42">
        <v>234.6</v>
      </c>
      <c r="F79" s="42">
        <v>42.9</v>
      </c>
      <c r="G79" s="42">
        <v>21</v>
      </c>
      <c r="H79" s="64"/>
      <c r="I79" s="64"/>
      <c r="J79" s="42">
        <v>26.6</v>
      </c>
      <c r="K79" s="42">
        <v>1541.1</v>
      </c>
      <c r="L79" s="123">
        <f t="shared" si="12"/>
        <v>3092.8</v>
      </c>
      <c r="M79" s="42">
        <v>8.5</v>
      </c>
      <c r="N79" s="39">
        <f t="shared" si="9"/>
        <v>298.5</v>
      </c>
      <c r="O79" s="42">
        <v>26.6</v>
      </c>
      <c r="P79" s="92">
        <f t="shared" si="10"/>
        <v>325.10000000000002</v>
      </c>
      <c r="Q79" s="39">
        <f t="shared" si="13"/>
        <v>18.631</v>
      </c>
      <c r="R79" s="144">
        <f t="shared" si="14"/>
        <v>1.9584337349397591</v>
      </c>
      <c r="S79" s="128">
        <f t="shared" si="8"/>
        <v>0.90507651202331796</v>
      </c>
      <c r="T79" s="145">
        <f t="shared" si="11"/>
        <v>3101.3</v>
      </c>
    </row>
    <row r="80" spans="1:72" s="107" customFormat="1" ht="18.75">
      <c r="A80" s="120">
        <v>201</v>
      </c>
      <c r="B80" s="106">
        <v>181</v>
      </c>
      <c r="C80" s="52">
        <v>1009.5</v>
      </c>
      <c r="D80" s="52">
        <v>304.89999999999998</v>
      </c>
      <c r="E80" s="42">
        <v>206.3</v>
      </c>
      <c r="F80" s="42">
        <v>53.5</v>
      </c>
      <c r="G80" s="42">
        <v>26</v>
      </c>
      <c r="H80" s="66"/>
      <c r="I80" s="66"/>
      <c r="J80" s="42">
        <v>26.6</v>
      </c>
      <c r="K80" s="42">
        <v>1672.2</v>
      </c>
      <c r="L80" s="123">
        <f t="shared" si="12"/>
        <v>3299</v>
      </c>
      <c r="M80" s="42">
        <v>11.7</v>
      </c>
      <c r="N80" s="39">
        <f t="shared" si="9"/>
        <v>285.8</v>
      </c>
      <c r="O80" s="42">
        <v>26.6</v>
      </c>
      <c r="P80" s="92">
        <f t="shared" si="10"/>
        <v>312.40000000000003</v>
      </c>
      <c r="Q80" s="39">
        <f t="shared" si="13"/>
        <v>18.227</v>
      </c>
      <c r="R80" s="144">
        <f t="shared" si="14"/>
        <v>1.7259668508287294</v>
      </c>
      <c r="S80" s="128">
        <f t="shared" si="8"/>
        <v>0.88545057080398348</v>
      </c>
      <c r="T80" s="145">
        <f t="shared" si="11"/>
        <v>3310.7</v>
      </c>
      <c r="U80" s="80"/>
      <c r="V80" s="80"/>
      <c r="W80" s="87"/>
      <c r="X80" s="87"/>
      <c r="Y80" s="87"/>
      <c r="Z80" s="87"/>
      <c r="AA80" s="87"/>
      <c r="AB80" s="87"/>
      <c r="AC80" s="87"/>
      <c r="AD80" s="87"/>
      <c r="AE80" s="87"/>
      <c r="AF80" s="87"/>
      <c r="AG80" s="87"/>
      <c r="AH80" s="87"/>
      <c r="AI80" s="87"/>
      <c r="AJ80" s="87"/>
      <c r="AK80" s="87"/>
      <c r="AL80" s="87"/>
      <c r="AM80" s="87"/>
      <c r="AN80" s="87"/>
      <c r="AO80" s="87"/>
      <c r="AP80" s="87"/>
      <c r="AQ80" s="87"/>
      <c r="AR80" s="87"/>
      <c r="AS80" s="87"/>
      <c r="AT80" s="87"/>
      <c r="AU80" s="87"/>
      <c r="AV80" s="87"/>
      <c r="AW80" s="87"/>
      <c r="AX80" s="87"/>
      <c r="AY80" s="87"/>
      <c r="AZ80" s="87"/>
      <c r="BA80" s="87"/>
      <c r="BB80" s="87"/>
      <c r="BC80" s="87"/>
      <c r="BD80" s="87"/>
      <c r="BE80" s="87"/>
      <c r="BF80" s="87"/>
      <c r="BG80" s="87"/>
      <c r="BH80" s="87"/>
      <c r="BI80" s="87"/>
      <c r="BJ80" s="87"/>
      <c r="BK80" s="87"/>
      <c r="BL80" s="87"/>
      <c r="BM80" s="87"/>
      <c r="BN80" s="87"/>
      <c r="BO80" s="87"/>
      <c r="BP80" s="87"/>
      <c r="BQ80" s="87"/>
      <c r="BR80" s="87"/>
      <c r="BS80" s="87"/>
      <c r="BT80" s="87"/>
    </row>
    <row r="81" spans="1:72" ht="18.75">
      <c r="A81" s="7" t="s">
        <v>110</v>
      </c>
      <c r="B81" s="89">
        <v>194</v>
      </c>
      <c r="C81" s="51">
        <v>984.3</v>
      </c>
      <c r="D81" s="51">
        <v>297.3</v>
      </c>
      <c r="E81" s="42">
        <v>161.1</v>
      </c>
      <c r="F81" s="42">
        <v>63.2</v>
      </c>
      <c r="G81" s="42">
        <v>25.2</v>
      </c>
      <c r="H81" s="64"/>
      <c r="I81" s="64"/>
      <c r="J81" s="42">
        <v>26.6</v>
      </c>
      <c r="K81" s="42">
        <v>1746.6</v>
      </c>
      <c r="L81" s="123">
        <f t="shared" ref="L81:L83" si="15">ROUND(C81+D81+H81+J81+K81+F81+G81+E81,1)</f>
        <v>3304.3</v>
      </c>
      <c r="M81" s="42">
        <v>11.9</v>
      </c>
      <c r="N81" s="39">
        <f t="shared" si="9"/>
        <v>249.5</v>
      </c>
      <c r="O81" s="42">
        <v>26.6</v>
      </c>
      <c r="P81" s="92">
        <f t="shared" si="10"/>
        <v>276.10000000000002</v>
      </c>
      <c r="Q81" s="39">
        <f t="shared" ref="Q81:Q112" si="16">ROUND(L81/B81,3)</f>
        <v>17.032</v>
      </c>
      <c r="R81" s="144">
        <f t="shared" ref="R81:R112" si="17">P81/B81</f>
        <v>1.4231958762886598</v>
      </c>
      <c r="S81" s="128">
        <f t="shared" ref="S81:S144" si="18">Q81/20.585</f>
        <v>0.82739859120718962</v>
      </c>
      <c r="T81" s="145">
        <f t="shared" si="11"/>
        <v>3316.2000000000003</v>
      </c>
    </row>
    <row r="82" spans="1:72" ht="18.75">
      <c r="A82" s="7" t="s">
        <v>111</v>
      </c>
      <c r="B82" s="89">
        <v>191</v>
      </c>
      <c r="C82" s="51">
        <v>1034.8</v>
      </c>
      <c r="D82" s="51">
        <v>312.5</v>
      </c>
      <c r="E82" s="42">
        <v>243.7</v>
      </c>
      <c r="F82" s="42">
        <v>63.1</v>
      </c>
      <c r="G82" s="42">
        <v>31.9</v>
      </c>
      <c r="H82" s="64"/>
      <c r="I82" s="64"/>
      <c r="J82" s="42">
        <v>26.6</v>
      </c>
      <c r="K82" s="42">
        <v>1835.8</v>
      </c>
      <c r="L82" s="123">
        <f t="shared" si="15"/>
        <v>3548.4</v>
      </c>
      <c r="M82" s="42">
        <v>11.2</v>
      </c>
      <c r="N82" s="39">
        <f t="shared" ref="N82:N145" si="19">E82+F82+G82+H82+I82</f>
        <v>338.7</v>
      </c>
      <c r="O82" s="42">
        <v>26.6</v>
      </c>
      <c r="P82" s="92">
        <f t="shared" ref="P82:P145" si="20">N82+O82</f>
        <v>365.3</v>
      </c>
      <c r="Q82" s="39">
        <f t="shared" si="16"/>
        <v>18.577999999999999</v>
      </c>
      <c r="R82" s="144">
        <f t="shared" si="17"/>
        <v>1.912565445026178</v>
      </c>
      <c r="S82" s="128">
        <f t="shared" si="18"/>
        <v>0.90250182171484084</v>
      </c>
      <c r="T82" s="145">
        <f t="shared" ref="T82:T145" si="21">L82+M82</f>
        <v>3559.6</v>
      </c>
    </row>
    <row r="83" spans="1:72" ht="18.75">
      <c r="A83" s="7" t="s">
        <v>112</v>
      </c>
      <c r="B83" s="89">
        <v>235</v>
      </c>
      <c r="C83" s="51">
        <v>1119.0999999999999</v>
      </c>
      <c r="D83" s="51">
        <v>338</v>
      </c>
      <c r="E83" s="42">
        <v>326.2</v>
      </c>
      <c r="F83" s="42">
        <v>35.6</v>
      </c>
      <c r="G83" s="42">
        <v>29.1</v>
      </c>
      <c r="H83" s="64"/>
      <c r="I83" s="64"/>
      <c r="J83" s="42">
        <v>26.6</v>
      </c>
      <c r="K83" s="42">
        <v>2023.5</v>
      </c>
      <c r="L83" s="123">
        <f t="shared" si="15"/>
        <v>3898.1</v>
      </c>
      <c r="M83" s="42">
        <v>11.2</v>
      </c>
      <c r="N83" s="39">
        <f t="shared" si="19"/>
        <v>390.90000000000003</v>
      </c>
      <c r="O83" s="42">
        <v>26.6</v>
      </c>
      <c r="P83" s="92">
        <f t="shared" si="20"/>
        <v>417.50000000000006</v>
      </c>
      <c r="Q83" s="39">
        <f t="shared" si="16"/>
        <v>16.588000000000001</v>
      </c>
      <c r="R83" s="144">
        <f t="shared" si="17"/>
        <v>1.7765957446808514</v>
      </c>
      <c r="S83" s="128">
        <f t="shared" si="18"/>
        <v>0.80582948749089145</v>
      </c>
      <c r="T83" s="145">
        <f t="shared" si="21"/>
        <v>3909.2999999999997</v>
      </c>
    </row>
    <row r="84" spans="1:72" ht="18.75">
      <c r="A84" s="7" t="s">
        <v>113</v>
      </c>
      <c r="B84" s="89">
        <v>157</v>
      </c>
      <c r="C84" s="51">
        <v>925.3</v>
      </c>
      <c r="D84" s="51">
        <v>279.39999999999998</v>
      </c>
      <c r="E84" s="42">
        <v>216.2</v>
      </c>
      <c r="F84" s="42">
        <v>30</v>
      </c>
      <c r="G84" s="42">
        <v>7.1</v>
      </c>
      <c r="H84" s="42">
        <v>0</v>
      </c>
      <c r="I84" s="42">
        <v>75.599999999999994</v>
      </c>
      <c r="J84" s="42">
        <v>25.9</v>
      </c>
      <c r="K84" s="42">
        <v>1389.7</v>
      </c>
      <c r="L84" s="123">
        <f>ROUND(C84+D84+H84+J84+K84+F84+G84+E84+I84,1)</f>
        <v>2949.2</v>
      </c>
      <c r="M84" s="42">
        <v>21.2</v>
      </c>
      <c r="N84" s="39">
        <f t="shared" si="19"/>
        <v>328.9</v>
      </c>
      <c r="O84" s="42">
        <v>25.9</v>
      </c>
      <c r="P84" s="92">
        <f t="shared" si="20"/>
        <v>354.79999999999995</v>
      </c>
      <c r="Q84" s="39">
        <f t="shared" si="16"/>
        <v>18.785</v>
      </c>
      <c r="R84" s="144">
        <f t="shared" si="17"/>
        <v>2.2598726114649677</v>
      </c>
      <c r="S84" s="128">
        <f t="shared" si="18"/>
        <v>0.91255768763662859</v>
      </c>
      <c r="T84" s="145">
        <f t="shared" si="21"/>
        <v>2970.3999999999996</v>
      </c>
    </row>
    <row r="85" spans="1:72" ht="18.75">
      <c r="A85" s="7" t="s">
        <v>114</v>
      </c>
      <c r="B85" s="89">
        <v>123</v>
      </c>
      <c r="C85" s="51">
        <v>832.6</v>
      </c>
      <c r="D85" s="51">
        <v>251.4</v>
      </c>
      <c r="E85" s="42">
        <v>129.69999999999999</v>
      </c>
      <c r="F85" s="42">
        <v>15</v>
      </c>
      <c r="G85" s="42">
        <v>9.8000000000000007</v>
      </c>
      <c r="H85" s="42">
        <v>0</v>
      </c>
      <c r="I85" s="42">
        <v>0</v>
      </c>
      <c r="J85" s="42">
        <v>22.4</v>
      </c>
      <c r="K85" s="42">
        <v>1022.7</v>
      </c>
      <c r="L85" s="123">
        <f t="shared" ref="L85:L116" si="22">ROUND(C85+D85+H85+J85+K85+F85+G85+E85,1)</f>
        <v>2283.6</v>
      </c>
      <c r="M85" s="42">
        <v>5.9</v>
      </c>
      <c r="N85" s="39">
        <f t="shared" si="19"/>
        <v>154.5</v>
      </c>
      <c r="O85" s="42">
        <v>22.4</v>
      </c>
      <c r="P85" s="92">
        <f t="shared" si="20"/>
        <v>176.9</v>
      </c>
      <c r="Q85" s="39">
        <f t="shared" si="16"/>
        <v>18.565999999999999</v>
      </c>
      <c r="R85" s="144">
        <f t="shared" si="17"/>
        <v>1.4382113821138212</v>
      </c>
      <c r="S85" s="128">
        <f t="shared" si="18"/>
        <v>0.90191887296575168</v>
      </c>
      <c r="T85" s="145">
        <f t="shared" si="21"/>
        <v>2289.5</v>
      </c>
    </row>
    <row r="86" spans="1:72" ht="18.75">
      <c r="A86" s="7" t="s">
        <v>115</v>
      </c>
      <c r="B86" s="89">
        <v>225</v>
      </c>
      <c r="C86" s="7">
        <v>1119.0999999999999</v>
      </c>
      <c r="D86" s="7">
        <v>338</v>
      </c>
      <c r="E86" s="42">
        <v>227.9</v>
      </c>
      <c r="F86" s="42">
        <v>53.4</v>
      </c>
      <c r="G86" s="42">
        <v>23.2</v>
      </c>
      <c r="H86" s="64"/>
      <c r="I86" s="64"/>
      <c r="J86" s="42">
        <v>26.6</v>
      </c>
      <c r="K86" s="42">
        <v>2149.5</v>
      </c>
      <c r="L86" s="123">
        <f t="shared" si="22"/>
        <v>3937.7</v>
      </c>
      <c r="M86" s="42">
        <v>12.9</v>
      </c>
      <c r="N86" s="39">
        <f t="shared" si="19"/>
        <v>304.5</v>
      </c>
      <c r="O86" s="42">
        <v>26.6</v>
      </c>
      <c r="P86" s="92">
        <f t="shared" si="20"/>
        <v>331.1</v>
      </c>
      <c r="Q86" s="39">
        <f t="shared" si="16"/>
        <v>17.501000000000001</v>
      </c>
      <c r="R86" s="144">
        <f t="shared" si="17"/>
        <v>1.4715555555555557</v>
      </c>
      <c r="S86" s="128">
        <f t="shared" si="18"/>
        <v>0.85018217148409037</v>
      </c>
      <c r="T86" s="145">
        <f t="shared" si="21"/>
        <v>3950.6</v>
      </c>
    </row>
    <row r="87" spans="1:72" s="107" customFormat="1" ht="18.75">
      <c r="A87" s="120">
        <v>6</v>
      </c>
      <c r="B87" s="106">
        <v>189</v>
      </c>
      <c r="C87" s="90">
        <v>1833.6</v>
      </c>
      <c r="D87" s="90">
        <v>553.70000000000005</v>
      </c>
      <c r="E87" s="42">
        <v>305.10000000000002</v>
      </c>
      <c r="F87" s="42">
        <v>97.3</v>
      </c>
      <c r="G87" s="42">
        <v>48.5</v>
      </c>
      <c r="H87" s="66"/>
      <c r="I87" s="66"/>
      <c r="J87" s="42">
        <v>37.5</v>
      </c>
      <c r="K87" s="42">
        <v>2926.5</v>
      </c>
      <c r="L87" s="123">
        <f t="shared" si="22"/>
        <v>5802.2</v>
      </c>
      <c r="M87" s="42">
        <v>21.9</v>
      </c>
      <c r="N87" s="39">
        <f t="shared" si="19"/>
        <v>450.90000000000003</v>
      </c>
      <c r="O87" s="42">
        <v>37.5</v>
      </c>
      <c r="P87" s="92">
        <f t="shared" si="20"/>
        <v>488.40000000000003</v>
      </c>
      <c r="Q87" s="39">
        <f t="shared" si="16"/>
        <v>30.699000000000002</v>
      </c>
      <c r="R87" s="144">
        <f t="shared" si="17"/>
        <v>2.5841269841269843</v>
      </c>
      <c r="S87" s="128">
        <f t="shared" si="18"/>
        <v>1.4913286373572989</v>
      </c>
      <c r="T87" s="145">
        <f t="shared" si="21"/>
        <v>5824.0999999999995</v>
      </c>
      <c r="U87" s="80"/>
      <c r="V87" s="80"/>
      <c r="W87" s="87"/>
      <c r="X87" s="87"/>
      <c r="Y87" s="87"/>
      <c r="Z87" s="87"/>
      <c r="AA87" s="87"/>
      <c r="AB87" s="87"/>
      <c r="AC87" s="87"/>
      <c r="AD87" s="87"/>
      <c r="AE87" s="87"/>
      <c r="AF87" s="87"/>
      <c r="AG87" s="87"/>
      <c r="AH87" s="87"/>
      <c r="AI87" s="87"/>
      <c r="AJ87" s="87"/>
      <c r="AK87" s="87"/>
      <c r="AL87" s="87"/>
      <c r="AM87" s="87"/>
      <c r="AN87" s="87"/>
      <c r="AO87" s="87"/>
      <c r="AP87" s="87"/>
      <c r="AQ87" s="87"/>
      <c r="AR87" s="87"/>
      <c r="AS87" s="87"/>
      <c r="AT87" s="87"/>
      <c r="AU87" s="87"/>
      <c r="AV87" s="87"/>
      <c r="AW87" s="87"/>
      <c r="AX87" s="87"/>
      <c r="AY87" s="87"/>
      <c r="AZ87" s="87"/>
      <c r="BA87" s="87"/>
      <c r="BB87" s="87"/>
      <c r="BC87" s="87"/>
      <c r="BD87" s="87"/>
      <c r="BE87" s="87"/>
      <c r="BF87" s="87"/>
      <c r="BG87" s="87"/>
      <c r="BH87" s="87"/>
      <c r="BI87" s="87"/>
      <c r="BJ87" s="87"/>
      <c r="BK87" s="87"/>
      <c r="BL87" s="87"/>
      <c r="BM87" s="87"/>
      <c r="BN87" s="87"/>
      <c r="BO87" s="87"/>
      <c r="BP87" s="87"/>
      <c r="BQ87" s="87"/>
      <c r="BR87" s="87"/>
      <c r="BS87" s="87"/>
      <c r="BT87" s="87"/>
    </row>
    <row r="88" spans="1:72" ht="18.75">
      <c r="A88" s="7" t="s">
        <v>116</v>
      </c>
      <c r="B88" s="89">
        <v>190</v>
      </c>
      <c r="C88" s="7">
        <v>950.5</v>
      </c>
      <c r="D88" s="7">
        <v>287.10000000000002</v>
      </c>
      <c r="E88" s="42">
        <v>283</v>
      </c>
      <c r="F88" s="42">
        <v>36.700000000000003</v>
      </c>
      <c r="G88" s="42">
        <v>19.3</v>
      </c>
      <c r="H88" s="64"/>
      <c r="I88" s="64"/>
      <c r="J88" s="42">
        <v>26.6</v>
      </c>
      <c r="K88" s="42">
        <v>1865.2</v>
      </c>
      <c r="L88" s="123">
        <f t="shared" si="22"/>
        <v>3468.4</v>
      </c>
      <c r="M88" s="42">
        <v>8.8000000000000007</v>
      </c>
      <c r="N88" s="39">
        <f t="shared" si="19"/>
        <v>339</v>
      </c>
      <c r="O88" s="42">
        <v>26.6</v>
      </c>
      <c r="P88" s="92">
        <f t="shared" si="20"/>
        <v>365.6</v>
      </c>
      <c r="Q88" s="39">
        <f t="shared" si="16"/>
        <v>18.254999999999999</v>
      </c>
      <c r="R88" s="144">
        <f t="shared" si="17"/>
        <v>1.9242105263157896</v>
      </c>
      <c r="S88" s="128">
        <f t="shared" si="18"/>
        <v>0.88681078455185802</v>
      </c>
      <c r="T88" s="145">
        <f t="shared" si="21"/>
        <v>3477.2000000000003</v>
      </c>
    </row>
    <row r="89" spans="1:72" ht="18.75">
      <c r="A89" s="7" t="s">
        <v>117</v>
      </c>
      <c r="B89" s="89">
        <v>170</v>
      </c>
      <c r="C89" s="7">
        <v>942.1</v>
      </c>
      <c r="D89" s="7">
        <v>284.5</v>
      </c>
      <c r="E89" s="42">
        <v>265.3</v>
      </c>
      <c r="F89" s="42">
        <v>23.8</v>
      </c>
      <c r="G89" s="42">
        <v>19.7</v>
      </c>
      <c r="H89" s="64"/>
      <c r="I89" s="64"/>
      <c r="J89" s="42">
        <v>26.6</v>
      </c>
      <c r="K89" s="42">
        <v>1595.2</v>
      </c>
      <c r="L89" s="123">
        <f t="shared" si="22"/>
        <v>3157.2</v>
      </c>
      <c r="M89" s="42">
        <v>8.6999999999999993</v>
      </c>
      <c r="N89" s="39">
        <f t="shared" si="19"/>
        <v>308.8</v>
      </c>
      <c r="O89" s="42">
        <v>26.6</v>
      </c>
      <c r="P89" s="92">
        <f t="shared" si="20"/>
        <v>335.40000000000003</v>
      </c>
      <c r="Q89" s="39">
        <f t="shared" si="16"/>
        <v>18.571999999999999</v>
      </c>
      <c r="R89" s="144">
        <f t="shared" si="17"/>
        <v>1.9729411764705884</v>
      </c>
      <c r="S89" s="128">
        <f t="shared" si="18"/>
        <v>0.90221034734029626</v>
      </c>
      <c r="T89" s="145">
        <f t="shared" si="21"/>
        <v>3165.8999999999996</v>
      </c>
    </row>
    <row r="90" spans="1:72" ht="18.75">
      <c r="A90" s="7" t="s">
        <v>118</v>
      </c>
      <c r="B90" s="89">
        <v>153</v>
      </c>
      <c r="C90" s="7">
        <v>723.1</v>
      </c>
      <c r="D90" s="7">
        <v>218.4</v>
      </c>
      <c r="E90" s="42">
        <v>167</v>
      </c>
      <c r="F90" s="42">
        <v>21.4</v>
      </c>
      <c r="G90" s="42">
        <v>9.5</v>
      </c>
      <c r="H90" s="64"/>
      <c r="I90" s="64"/>
      <c r="J90" s="42">
        <v>25.9</v>
      </c>
      <c r="K90" s="42">
        <v>1429.5</v>
      </c>
      <c r="L90" s="123">
        <f t="shared" si="22"/>
        <v>2594.8000000000002</v>
      </c>
      <c r="M90" s="42">
        <v>12.2</v>
      </c>
      <c r="N90" s="39">
        <f t="shared" si="19"/>
        <v>197.9</v>
      </c>
      <c r="O90" s="42">
        <v>25.9</v>
      </c>
      <c r="P90" s="92">
        <f t="shared" si="20"/>
        <v>223.8</v>
      </c>
      <c r="Q90" s="39">
        <f t="shared" si="16"/>
        <v>16.959</v>
      </c>
      <c r="R90" s="144">
        <f t="shared" si="17"/>
        <v>1.4627450980392158</v>
      </c>
      <c r="S90" s="128">
        <f t="shared" si="18"/>
        <v>0.82385231965023065</v>
      </c>
      <c r="T90" s="145">
        <f t="shared" si="21"/>
        <v>2607</v>
      </c>
    </row>
    <row r="91" spans="1:72" ht="18.75">
      <c r="A91" s="7" t="s">
        <v>119</v>
      </c>
      <c r="B91" s="89">
        <v>235</v>
      </c>
      <c r="C91" s="7">
        <v>1119.0999999999999</v>
      </c>
      <c r="D91" s="7">
        <v>338</v>
      </c>
      <c r="E91" s="42">
        <v>143.4</v>
      </c>
      <c r="F91" s="42">
        <v>50.7</v>
      </c>
      <c r="G91" s="42">
        <v>32</v>
      </c>
      <c r="H91" s="64"/>
      <c r="I91" s="64"/>
      <c r="J91" s="42">
        <v>26.6</v>
      </c>
      <c r="K91" s="42">
        <v>2169.8000000000002</v>
      </c>
      <c r="L91" s="123">
        <f t="shared" si="22"/>
        <v>3879.6</v>
      </c>
      <c r="M91" s="42">
        <v>11.9</v>
      </c>
      <c r="N91" s="39">
        <f t="shared" si="19"/>
        <v>226.10000000000002</v>
      </c>
      <c r="O91" s="42">
        <v>26.6</v>
      </c>
      <c r="P91" s="92">
        <f t="shared" si="20"/>
        <v>252.70000000000002</v>
      </c>
      <c r="Q91" s="39">
        <f t="shared" si="16"/>
        <v>16.509</v>
      </c>
      <c r="R91" s="144">
        <f t="shared" si="17"/>
        <v>1.0753191489361702</v>
      </c>
      <c r="S91" s="128">
        <f t="shared" si="18"/>
        <v>0.80199174155938791</v>
      </c>
      <c r="T91" s="145">
        <f t="shared" si="21"/>
        <v>3891.5</v>
      </c>
    </row>
    <row r="92" spans="1:72" s="107" customFormat="1" ht="18.75">
      <c r="A92" s="120">
        <v>50</v>
      </c>
      <c r="B92" s="106">
        <v>269</v>
      </c>
      <c r="C92" s="90">
        <v>1606.2</v>
      </c>
      <c r="D92" s="90">
        <v>485.1</v>
      </c>
      <c r="E92" s="42">
        <v>329.4</v>
      </c>
      <c r="F92" s="42">
        <v>54</v>
      </c>
      <c r="G92" s="42">
        <v>30.1</v>
      </c>
      <c r="H92" s="42">
        <v>28.7</v>
      </c>
      <c r="I92" s="66"/>
      <c r="J92" s="42">
        <v>35.1</v>
      </c>
      <c r="K92" s="42">
        <v>2457.5</v>
      </c>
      <c r="L92" s="123">
        <f t="shared" si="22"/>
        <v>5026.1000000000004</v>
      </c>
      <c r="M92" s="42">
        <v>14.9</v>
      </c>
      <c r="N92" s="39">
        <f t="shared" si="19"/>
        <v>442.2</v>
      </c>
      <c r="O92" s="42">
        <v>35.1</v>
      </c>
      <c r="P92" s="92">
        <f t="shared" si="20"/>
        <v>477.3</v>
      </c>
      <c r="Q92" s="39">
        <f t="shared" si="16"/>
        <v>18.684000000000001</v>
      </c>
      <c r="R92" s="144">
        <f t="shared" si="17"/>
        <v>1.7743494423791821</v>
      </c>
      <c r="S92" s="128">
        <f t="shared" si="18"/>
        <v>0.90765120233179497</v>
      </c>
      <c r="T92" s="145">
        <f t="shared" si="21"/>
        <v>5041</v>
      </c>
      <c r="U92" s="80"/>
      <c r="V92" s="80"/>
      <c r="W92" s="87"/>
      <c r="X92" s="87"/>
      <c r="Y92" s="87"/>
      <c r="Z92" s="87"/>
      <c r="AA92" s="87"/>
      <c r="AB92" s="87"/>
      <c r="AC92" s="87"/>
      <c r="AD92" s="87"/>
      <c r="AE92" s="87"/>
      <c r="AF92" s="87"/>
      <c r="AG92" s="87"/>
      <c r="AH92" s="87"/>
      <c r="AI92" s="87"/>
      <c r="AJ92" s="87"/>
      <c r="AK92" s="87"/>
      <c r="AL92" s="87"/>
      <c r="AM92" s="87"/>
      <c r="AN92" s="87"/>
      <c r="AO92" s="87"/>
      <c r="AP92" s="87"/>
      <c r="AQ92" s="87"/>
      <c r="AR92" s="87"/>
      <c r="AS92" s="87"/>
      <c r="AT92" s="87"/>
      <c r="AU92" s="87"/>
      <c r="AV92" s="87"/>
      <c r="AW92" s="87"/>
      <c r="AX92" s="87"/>
      <c r="AY92" s="87"/>
      <c r="AZ92" s="87"/>
      <c r="BA92" s="87"/>
      <c r="BB92" s="87"/>
      <c r="BC92" s="87"/>
      <c r="BD92" s="87"/>
      <c r="BE92" s="87"/>
      <c r="BF92" s="87"/>
      <c r="BG92" s="87"/>
      <c r="BH92" s="87"/>
      <c r="BI92" s="87"/>
      <c r="BJ92" s="87"/>
      <c r="BK92" s="87"/>
      <c r="BL92" s="87"/>
      <c r="BM92" s="87"/>
      <c r="BN92" s="87"/>
      <c r="BO92" s="87"/>
      <c r="BP92" s="87"/>
      <c r="BQ92" s="87"/>
      <c r="BR92" s="87"/>
      <c r="BS92" s="87"/>
      <c r="BT92" s="87"/>
    </row>
    <row r="93" spans="1:72" ht="18.75">
      <c r="A93" s="7" t="s">
        <v>120</v>
      </c>
      <c r="B93" s="89">
        <v>191</v>
      </c>
      <c r="C93" s="7">
        <v>1001</v>
      </c>
      <c r="D93" s="7">
        <v>302.3</v>
      </c>
      <c r="E93" s="42">
        <v>420.6</v>
      </c>
      <c r="F93" s="42">
        <v>26.1</v>
      </c>
      <c r="G93" s="42">
        <v>20.100000000000001</v>
      </c>
      <c r="H93" s="64"/>
      <c r="I93" s="64"/>
      <c r="J93" s="42">
        <v>26.6</v>
      </c>
      <c r="K93" s="42">
        <v>1759.2</v>
      </c>
      <c r="L93" s="123">
        <f t="shared" si="22"/>
        <v>3555.9</v>
      </c>
      <c r="M93" s="42">
        <v>9</v>
      </c>
      <c r="N93" s="39">
        <f t="shared" si="19"/>
        <v>466.80000000000007</v>
      </c>
      <c r="O93" s="42">
        <v>26.6</v>
      </c>
      <c r="P93" s="92">
        <f t="shared" si="20"/>
        <v>493.40000000000009</v>
      </c>
      <c r="Q93" s="39">
        <f t="shared" si="16"/>
        <v>18.617000000000001</v>
      </c>
      <c r="R93" s="144">
        <f t="shared" si="17"/>
        <v>2.5832460732984299</v>
      </c>
      <c r="S93" s="128">
        <f t="shared" si="18"/>
        <v>0.90439640514938058</v>
      </c>
      <c r="T93" s="145">
        <f t="shared" si="21"/>
        <v>3564.9</v>
      </c>
    </row>
    <row r="94" spans="1:72" ht="18.75">
      <c r="A94" s="7" t="s">
        <v>121</v>
      </c>
      <c r="B94" s="89">
        <v>201</v>
      </c>
      <c r="C94" s="7">
        <v>1110.7</v>
      </c>
      <c r="D94" s="7">
        <v>335.4</v>
      </c>
      <c r="E94" s="42">
        <v>273.60000000000002</v>
      </c>
      <c r="F94" s="42">
        <v>21.4</v>
      </c>
      <c r="G94" s="42">
        <v>24.3</v>
      </c>
      <c r="H94" s="64"/>
      <c r="I94" s="64"/>
      <c r="J94" s="42">
        <v>26.6</v>
      </c>
      <c r="K94" s="42">
        <v>1878.6</v>
      </c>
      <c r="L94" s="123">
        <f t="shared" si="22"/>
        <v>3670.6</v>
      </c>
      <c r="M94" s="42">
        <v>10.7</v>
      </c>
      <c r="N94" s="39">
        <f t="shared" si="19"/>
        <v>319.3</v>
      </c>
      <c r="O94" s="42">
        <v>26.6</v>
      </c>
      <c r="P94" s="92">
        <f t="shared" si="20"/>
        <v>345.90000000000003</v>
      </c>
      <c r="Q94" s="39">
        <f t="shared" si="16"/>
        <v>18.262</v>
      </c>
      <c r="R94" s="144">
        <f t="shared" si="17"/>
        <v>1.7208955223880598</v>
      </c>
      <c r="S94" s="128">
        <f t="shared" si="18"/>
        <v>0.88715083798882677</v>
      </c>
      <c r="T94" s="145">
        <f t="shared" si="21"/>
        <v>3681.2999999999997</v>
      </c>
    </row>
    <row r="95" spans="1:72" s="107" customFormat="1" ht="18.75">
      <c r="A95" s="120">
        <v>91</v>
      </c>
      <c r="B95" s="106">
        <v>243</v>
      </c>
      <c r="C95" s="90">
        <v>1521.8</v>
      </c>
      <c r="D95" s="90">
        <v>459.6</v>
      </c>
      <c r="E95" s="42">
        <v>279.10000000000002</v>
      </c>
      <c r="F95" s="42">
        <v>126.4</v>
      </c>
      <c r="G95" s="42">
        <v>21.1</v>
      </c>
      <c r="H95" s="66"/>
      <c r="I95" s="66"/>
      <c r="J95" s="42">
        <v>35.9</v>
      </c>
      <c r="K95" s="42">
        <v>2291.8000000000002</v>
      </c>
      <c r="L95" s="123">
        <f t="shared" si="22"/>
        <v>4735.7</v>
      </c>
      <c r="M95" s="42">
        <v>18.3</v>
      </c>
      <c r="N95" s="39">
        <f t="shared" si="19"/>
        <v>426.6</v>
      </c>
      <c r="O95" s="42">
        <v>35.9</v>
      </c>
      <c r="P95" s="92">
        <f t="shared" si="20"/>
        <v>462.5</v>
      </c>
      <c r="Q95" s="39">
        <f t="shared" si="16"/>
        <v>19.488</v>
      </c>
      <c r="R95" s="144">
        <f t="shared" si="17"/>
        <v>1.9032921810699588</v>
      </c>
      <c r="S95" s="128">
        <f t="shared" si="18"/>
        <v>0.94670876852076746</v>
      </c>
      <c r="T95" s="145">
        <f t="shared" si="21"/>
        <v>4754</v>
      </c>
      <c r="U95" s="80"/>
      <c r="V95" s="80"/>
      <c r="W95" s="87"/>
      <c r="X95" s="87"/>
      <c r="Y95" s="87"/>
      <c r="Z95" s="87"/>
      <c r="AA95" s="87"/>
      <c r="AB95" s="87"/>
      <c r="AC95" s="87"/>
      <c r="AD95" s="87"/>
      <c r="AE95" s="87"/>
      <c r="AF95" s="87"/>
      <c r="AG95" s="87"/>
      <c r="AH95" s="87"/>
      <c r="AI95" s="87"/>
      <c r="AJ95" s="87"/>
      <c r="AK95" s="87"/>
      <c r="AL95" s="87"/>
      <c r="AM95" s="87"/>
      <c r="AN95" s="87"/>
      <c r="AO95" s="87"/>
      <c r="AP95" s="87"/>
      <c r="AQ95" s="87"/>
      <c r="AR95" s="87"/>
      <c r="AS95" s="87"/>
      <c r="AT95" s="87"/>
      <c r="AU95" s="87"/>
      <c r="AV95" s="87"/>
      <c r="AW95" s="87"/>
      <c r="AX95" s="87"/>
      <c r="AY95" s="87"/>
      <c r="AZ95" s="87"/>
      <c r="BA95" s="87"/>
      <c r="BB95" s="87"/>
      <c r="BC95" s="87"/>
      <c r="BD95" s="87"/>
      <c r="BE95" s="87"/>
      <c r="BF95" s="87"/>
      <c r="BG95" s="87"/>
      <c r="BH95" s="87"/>
      <c r="BI95" s="87"/>
      <c r="BJ95" s="87"/>
      <c r="BK95" s="87"/>
      <c r="BL95" s="87"/>
      <c r="BM95" s="87"/>
      <c r="BN95" s="87"/>
      <c r="BO95" s="87"/>
      <c r="BP95" s="87"/>
      <c r="BQ95" s="87"/>
      <c r="BR95" s="87"/>
      <c r="BS95" s="87"/>
      <c r="BT95" s="87"/>
    </row>
    <row r="96" spans="1:72" ht="18.75">
      <c r="A96" s="7" t="s">
        <v>122</v>
      </c>
      <c r="B96" s="89">
        <v>182</v>
      </c>
      <c r="C96" s="7">
        <v>942.1</v>
      </c>
      <c r="D96" s="7">
        <v>284.5</v>
      </c>
      <c r="E96" s="42">
        <v>210.2</v>
      </c>
      <c r="F96" s="42">
        <v>37.799999999999997</v>
      </c>
      <c r="G96" s="42">
        <v>40.6</v>
      </c>
      <c r="H96" s="64"/>
      <c r="I96" s="64"/>
      <c r="J96" s="42">
        <v>26.6</v>
      </c>
      <c r="K96" s="42">
        <v>1573.1</v>
      </c>
      <c r="L96" s="123">
        <f t="shared" si="22"/>
        <v>3114.9</v>
      </c>
      <c r="M96" s="42">
        <v>16</v>
      </c>
      <c r="N96" s="39">
        <f t="shared" si="19"/>
        <v>288.60000000000002</v>
      </c>
      <c r="O96" s="42">
        <v>26.6</v>
      </c>
      <c r="P96" s="92">
        <f t="shared" si="20"/>
        <v>315.20000000000005</v>
      </c>
      <c r="Q96" s="39">
        <f t="shared" si="16"/>
        <v>17.114999999999998</v>
      </c>
      <c r="R96" s="144">
        <f t="shared" si="17"/>
        <v>1.7318681318681322</v>
      </c>
      <c r="S96" s="128">
        <f t="shared" si="18"/>
        <v>0.83143065338838951</v>
      </c>
      <c r="T96" s="145">
        <f t="shared" si="21"/>
        <v>3130.9</v>
      </c>
    </row>
    <row r="97" spans="1:72" ht="18.75">
      <c r="A97" s="7" t="s">
        <v>123</v>
      </c>
      <c r="B97" s="89">
        <v>495</v>
      </c>
      <c r="C97" s="7">
        <v>1951.6</v>
      </c>
      <c r="D97" s="7">
        <v>589.4</v>
      </c>
      <c r="E97" s="42">
        <v>434.3</v>
      </c>
      <c r="F97" s="42">
        <v>126.5</v>
      </c>
      <c r="G97" s="42">
        <v>69.099999999999994</v>
      </c>
      <c r="H97" s="64"/>
      <c r="I97" s="64"/>
      <c r="J97" s="42">
        <v>44.9</v>
      </c>
      <c r="K97" s="42">
        <v>4600</v>
      </c>
      <c r="L97" s="123">
        <f t="shared" si="22"/>
        <v>7815.8</v>
      </c>
      <c r="M97" s="42">
        <v>26.9</v>
      </c>
      <c r="N97" s="39">
        <f t="shared" si="19"/>
        <v>629.9</v>
      </c>
      <c r="O97" s="42">
        <v>44.9</v>
      </c>
      <c r="P97" s="92">
        <f t="shared" si="20"/>
        <v>674.8</v>
      </c>
      <c r="Q97" s="39">
        <f t="shared" si="16"/>
        <v>15.789</v>
      </c>
      <c r="R97" s="144">
        <f t="shared" si="17"/>
        <v>1.3632323232323231</v>
      </c>
      <c r="S97" s="128">
        <f t="shared" si="18"/>
        <v>0.76701481661403925</v>
      </c>
      <c r="T97" s="145">
        <f t="shared" si="21"/>
        <v>7842.7</v>
      </c>
    </row>
    <row r="98" spans="1:72" ht="18.75">
      <c r="A98" s="7" t="s">
        <v>124</v>
      </c>
      <c r="B98" s="89">
        <v>185</v>
      </c>
      <c r="C98" s="7">
        <v>975.8</v>
      </c>
      <c r="D98" s="7">
        <v>294.7</v>
      </c>
      <c r="E98" s="42">
        <v>369.5</v>
      </c>
      <c r="F98" s="42">
        <v>32.1</v>
      </c>
      <c r="G98" s="42">
        <v>20.8</v>
      </c>
      <c r="H98" s="64"/>
      <c r="I98" s="64"/>
      <c r="J98" s="42">
        <v>26.6</v>
      </c>
      <c r="K98" s="42">
        <v>1638.9</v>
      </c>
      <c r="L98" s="123">
        <f t="shared" si="22"/>
        <v>3358.4</v>
      </c>
      <c r="M98" s="42">
        <v>9.1999999999999993</v>
      </c>
      <c r="N98" s="39">
        <f t="shared" si="19"/>
        <v>422.40000000000003</v>
      </c>
      <c r="O98" s="42">
        <v>26.6</v>
      </c>
      <c r="P98" s="92">
        <f t="shared" si="20"/>
        <v>449.00000000000006</v>
      </c>
      <c r="Q98" s="39">
        <f t="shared" si="16"/>
        <v>18.154</v>
      </c>
      <c r="R98" s="144">
        <f t="shared" si="17"/>
        <v>2.4270270270270276</v>
      </c>
      <c r="S98" s="128">
        <f t="shared" si="18"/>
        <v>0.88190429924702451</v>
      </c>
      <c r="T98" s="145">
        <f t="shared" si="21"/>
        <v>3367.6</v>
      </c>
    </row>
    <row r="99" spans="1:72" ht="18.75">
      <c r="A99" s="7" t="s">
        <v>125</v>
      </c>
      <c r="B99" s="89">
        <v>197</v>
      </c>
      <c r="C99" s="7">
        <v>1026.4000000000001</v>
      </c>
      <c r="D99" s="7">
        <v>310</v>
      </c>
      <c r="E99" s="42">
        <v>314.39999999999998</v>
      </c>
      <c r="F99" s="42">
        <v>27.3</v>
      </c>
      <c r="G99" s="42">
        <v>20.8</v>
      </c>
      <c r="H99" s="64"/>
      <c r="I99" s="64"/>
      <c r="J99" s="42">
        <v>26.6</v>
      </c>
      <c r="K99" s="42">
        <v>1944.9</v>
      </c>
      <c r="L99" s="123">
        <f t="shared" si="22"/>
        <v>3670.4</v>
      </c>
      <c r="M99" s="42">
        <v>8.8000000000000007</v>
      </c>
      <c r="N99" s="39">
        <f t="shared" si="19"/>
        <v>362.5</v>
      </c>
      <c r="O99" s="42">
        <v>26.6</v>
      </c>
      <c r="P99" s="92">
        <f t="shared" si="20"/>
        <v>389.1</v>
      </c>
      <c r="Q99" s="39">
        <f t="shared" si="16"/>
        <v>18.631</v>
      </c>
      <c r="R99" s="144">
        <f t="shared" si="17"/>
        <v>1.9751269035532997</v>
      </c>
      <c r="S99" s="128">
        <f t="shared" si="18"/>
        <v>0.90507651202331796</v>
      </c>
      <c r="T99" s="145">
        <f t="shared" si="21"/>
        <v>3679.2000000000003</v>
      </c>
    </row>
    <row r="100" spans="1:72" ht="18.75">
      <c r="A100" s="7" t="s">
        <v>126</v>
      </c>
      <c r="B100" s="89">
        <v>417</v>
      </c>
      <c r="C100" s="7">
        <v>1858.9</v>
      </c>
      <c r="D100" s="7">
        <v>561.4</v>
      </c>
      <c r="E100" s="42">
        <v>364.5</v>
      </c>
      <c r="F100" s="42">
        <v>98.2</v>
      </c>
      <c r="G100" s="42">
        <v>47.6</v>
      </c>
      <c r="H100" s="64"/>
      <c r="I100" s="64"/>
      <c r="J100" s="42">
        <v>41.3</v>
      </c>
      <c r="K100" s="42">
        <v>3873.2</v>
      </c>
      <c r="L100" s="123">
        <f t="shared" si="22"/>
        <v>6845.1</v>
      </c>
      <c r="M100" s="42">
        <v>9.6999999999999993</v>
      </c>
      <c r="N100" s="39">
        <f t="shared" si="19"/>
        <v>510.3</v>
      </c>
      <c r="O100" s="42">
        <v>41.3</v>
      </c>
      <c r="P100" s="92">
        <f t="shared" si="20"/>
        <v>551.6</v>
      </c>
      <c r="Q100" s="39">
        <f t="shared" si="16"/>
        <v>16.414999999999999</v>
      </c>
      <c r="R100" s="144">
        <f t="shared" si="17"/>
        <v>1.3227817745803359</v>
      </c>
      <c r="S100" s="128">
        <f t="shared" si="18"/>
        <v>0.79742530969152292</v>
      </c>
      <c r="T100" s="145">
        <f t="shared" si="21"/>
        <v>6854.8</v>
      </c>
    </row>
    <row r="101" spans="1:72" ht="18.75">
      <c r="A101" s="7" t="s">
        <v>127</v>
      </c>
      <c r="B101" s="89">
        <v>286</v>
      </c>
      <c r="C101" s="7">
        <v>1724.1</v>
      </c>
      <c r="D101" s="7">
        <v>520.70000000000005</v>
      </c>
      <c r="E101" s="42">
        <v>379.5</v>
      </c>
      <c r="F101" s="42">
        <v>44.2</v>
      </c>
      <c r="G101" s="42">
        <v>28.7</v>
      </c>
      <c r="H101" s="64"/>
      <c r="I101" s="64"/>
      <c r="J101" s="42">
        <v>35.1</v>
      </c>
      <c r="K101" s="42">
        <v>2727.9</v>
      </c>
      <c r="L101" s="123">
        <f t="shared" si="22"/>
        <v>5460.2</v>
      </c>
      <c r="M101" s="42">
        <v>11.5</v>
      </c>
      <c r="N101" s="39">
        <f t="shared" si="19"/>
        <v>452.4</v>
      </c>
      <c r="O101" s="42">
        <v>35.1</v>
      </c>
      <c r="P101" s="92">
        <f t="shared" si="20"/>
        <v>487.5</v>
      </c>
      <c r="Q101" s="39">
        <f t="shared" si="16"/>
        <v>19.091999999999999</v>
      </c>
      <c r="R101" s="144">
        <f t="shared" si="17"/>
        <v>1.7045454545454546</v>
      </c>
      <c r="S101" s="128">
        <f t="shared" si="18"/>
        <v>0.92747145980082579</v>
      </c>
      <c r="T101" s="145">
        <f t="shared" si="21"/>
        <v>5471.7</v>
      </c>
    </row>
    <row r="102" spans="1:72" ht="18.75">
      <c r="A102" s="7" t="s">
        <v>128</v>
      </c>
      <c r="B102" s="89">
        <v>223</v>
      </c>
      <c r="C102" s="7">
        <v>1068.5</v>
      </c>
      <c r="D102" s="7">
        <v>322.7</v>
      </c>
      <c r="E102" s="42">
        <v>251.6</v>
      </c>
      <c r="F102" s="42">
        <v>61.8</v>
      </c>
      <c r="G102" s="42">
        <v>20.9</v>
      </c>
      <c r="H102" s="64"/>
      <c r="I102" s="64"/>
      <c r="J102" s="42">
        <v>26.6</v>
      </c>
      <c r="K102" s="42">
        <v>2286.3000000000002</v>
      </c>
      <c r="L102" s="123">
        <f t="shared" si="22"/>
        <v>4038.4</v>
      </c>
      <c r="M102" s="42">
        <v>17.2</v>
      </c>
      <c r="N102" s="39">
        <f t="shared" si="19"/>
        <v>334.29999999999995</v>
      </c>
      <c r="O102" s="42">
        <v>26.6</v>
      </c>
      <c r="P102" s="92">
        <f t="shared" si="20"/>
        <v>360.9</v>
      </c>
      <c r="Q102" s="39">
        <f t="shared" si="16"/>
        <v>18.109000000000002</v>
      </c>
      <c r="R102" s="144">
        <f t="shared" si="17"/>
        <v>1.6183856502242151</v>
      </c>
      <c r="S102" s="128">
        <f t="shared" si="18"/>
        <v>0.87971824143794031</v>
      </c>
      <c r="T102" s="145">
        <f t="shared" si="21"/>
        <v>4055.6</v>
      </c>
    </row>
    <row r="103" spans="1:72" ht="18.75">
      <c r="A103" s="7" t="s">
        <v>129</v>
      </c>
      <c r="B103" s="89">
        <v>113</v>
      </c>
      <c r="C103" s="42">
        <v>798.9</v>
      </c>
      <c r="D103" s="42">
        <v>241.3</v>
      </c>
      <c r="E103" s="42">
        <v>235.8</v>
      </c>
      <c r="F103" s="42">
        <v>29.7</v>
      </c>
      <c r="G103" s="42">
        <v>21.9</v>
      </c>
      <c r="H103" s="64"/>
      <c r="I103" s="64"/>
      <c r="J103" s="42">
        <v>22.4</v>
      </c>
      <c r="K103" s="42">
        <v>994.3</v>
      </c>
      <c r="L103" s="123">
        <f t="shared" si="22"/>
        <v>2344.3000000000002</v>
      </c>
      <c r="M103" s="42">
        <v>9.5</v>
      </c>
      <c r="N103" s="39">
        <f t="shared" si="19"/>
        <v>287.39999999999998</v>
      </c>
      <c r="O103" s="42">
        <v>22.4</v>
      </c>
      <c r="P103" s="92">
        <f t="shared" si="20"/>
        <v>309.79999999999995</v>
      </c>
      <c r="Q103" s="39">
        <f t="shared" si="16"/>
        <v>20.745999999999999</v>
      </c>
      <c r="R103" s="144">
        <f t="shared" si="17"/>
        <v>2.7415929203539817</v>
      </c>
      <c r="S103" s="128">
        <f t="shared" si="18"/>
        <v>1.0078212290502793</v>
      </c>
      <c r="T103" s="145">
        <f t="shared" si="21"/>
        <v>2353.8000000000002</v>
      </c>
    </row>
    <row r="104" spans="1:72" ht="18.75">
      <c r="A104" s="7" t="s">
        <v>130</v>
      </c>
      <c r="B104" s="89">
        <v>358</v>
      </c>
      <c r="C104" s="42">
        <v>1464.6</v>
      </c>
      <c r="D104" s="42">
        <v>442.3</v>
      </c>
      <c r="E104" s="42">
        <v>365.5</v>
      </c>
      <c r="F104" s="42">
        <v>197.1</v>
      </c>
      <c r="G104" s="42">
        <v>53.5</v>
      </c>
      <c r="H104" s="64"/>
      <c r="I104" s="64"/>
      <c r="J104" s="42">
        <v>34.4</v>
      </c>
      <c r="K104" s="42">
        <v>3223.7</v>
      </c>
      <c r="L104" s="123">
        <f t="shared" si="22"/>
        <v>5781.1</v>
      </c>
      <c r="M104" s="42">
        <v>17.5</v>
      </c>
      <c r="N104" s="39">
        <f t="shared" si="19"/>
        <v>616.1</v>
      </c>
      <c r="O104" s="42">
        <v>34.4</v>
      </c>
      <c r="P104" s="92">
        <f t="shared" si="20"/>
        <v>650.5</v>
      </c>
      <c r="Q104" s="39">
        <f t="shared" si="16"/>
        <v>16.148</v>
      </c>
      <c r="R104" s="144">
        <f t="shared" si="17"/>
        <v>1.8170391061452513</v>
      </c>
      <c r="S104" s="128">
        <f t="shared" si="18"/>
        <v>0.78445470002428952</v>
      </c>
      <c r="T104" s="145">
        <f t="shared" si="21"/>
        <v>5798.6</v>
      </c>
    </row>
    <row r="105" spans="1:72" ht="18.75">
      <c r="A105" s="7" t="s">
        <v>131</v>
      </c>
      <c r="B105" s="89">
        <v>488</v>
      </c>
      <c r="C105" s="42">
        <v>1725.9</v>
      </c>
      <c r="D105" s="42">
        <v>521.20000000000005</v>
      </c>
      <c r="E105" s="42">
        <v>532.20000000000005</v>
      </c>
      <c r="F105" s="42">
        <v>342.79999999999995</v>
      </c>
      <c r="G105" s="42">
        <v>106</v>
      </c>
      <c r="H105" s="64"/>
      <c r="I105" s="64"/>
      <c r="J105" s="42">
        <v>38</v>
      </c>
      <c r="K105" s="42">
        <v>4426.8999999999996</v>
      </c>
      <c r="L105" s="123">
        <f t="shared" si="22"/>
        <v>7693</v>
      </c>
      <c r="M105" s="42">
        <v>27.6</v>
      </c>
      <c r="N105" s="39">
        <f t="shared" si="19"/>
        <v>981</v>
      </c>
      <c r="O105" s="42">
        <v>38</v>
      </c>
      <c r="P105" s="92">
        <f t="shared" si="20"/>
        <v>1019</v>
      </c>
      <c r="Q105" s="39">
        <f t="shared" si="16"/>
        <v>15.763999999999999</v>
      </c>
      <c r="R105" s="144">
        <f t="shared" si="17"/>
        <v>2.0881147540983607</v>
      </c>
      <c r="S105" s="128">
        <f t="shared" si="18"/>
        <v>0.76580034005343689</v>
      </c>
      <c r="T105" s="145">
        <f t="shared" si="21"/>
        <v>7720.6</v>
      </c>
    </row>
    <row r="106" spans="1:72" s="107" customFormat="1" ht="18.75">
      <c r="A106" s="120">
        <v>16</v>
      </c>
      <c r="B106" s="106">
        <v>327</v>
      </c>
      <c r="C106" s="42">
        <v>1262.4000000000001</v>
      </c>
      <c r="D106" s="42">
        <v>381.2</v>
      </c>
      <c r="E106" s="42">
        <v>303.39999999999998</v>
      </c>
      <c r="F106" s="42">
        <v>205.8</v>
      </c>
      <c r="G106" s="42">
        <v>35.1</v>
      </c>
      <c r="H106" s="66"/>
      <c r="I106" s="66"/>
      <c r="J106" s="42">
        <v>30.6</v>
      </c>
      <c r="K106" s="42">
        <v>3145.1</v>
      </c>
      <c r="L106" s="123">
        <f t="shared" si="22"/>
        <v>5363.6</v>
      </c>
      <c r="M106" s="42">
        <v>20.100000000000001</v>
      </c>
      <c r="N106" s="39">
        <f t="shared" si="19"/>
        <v>544.29999999999995</v>
      </c>
      <c r="O106" s="42">
        <v>30.6</v>
      </c>
      <c r="P106" s="92">
        <f t="shared" si="20"/>
        <v>574.9</v>
      </c>
      <c r="Q106" s="39">
        <f t="shared" si="16"/>
        <v>16.402000000000001</v>
      </c>
      <c r="R106" s="144">
        <f t="shared" si="17"/>
        <v>1.7581039755351682</v>
      </c>
      <c r="S106" s="128">
        <f t="shared" si="18"/>
        <v>0.79679378188000971</v>
      </c>
      <c r="T106" s="145">
        <f t="shared" si="21"/>
        <v>5383.7000000000007</v>
      </c>
      <c r="U106" s="80"/>
      <c r="V106" s="80"/>
      <c r="W106" s="87"/>
      <c r="X106" s="87"/>
      <c r="Y106" s="87"/>
      <c r="Z106" s="87"/>
      <c r="AA106" s="87"/>
      <c r="AB106" s="87"/>
      <c r="AC106" s="87"/>
      <c r="AD106" s="87"/>
      <c r="AE106" s="87"/>
      <c r="AF106" s="87"/>
      <c r="AG106" s="87"/>
      <c r="AH106" s="87"/>
      <c r="AI106" s="87"/>
      <c r="AJ106" s="87"/>
      <c r="AK106" s="87"/>
      <c r="AL106" s="87"/>
      <c r="AM106" s="87"/>
      <c r="AN106" s="87"/>
      <c r="AO106" s="87"/>
      <c r="AP106" s="87"/>
      <c r="AQ106" s="87"/>
      <c r="AR106" s="87"/>
      <c r="AS106" s="87"/>
      <c r="AT106" s="87"/>
      <c r="AU106" s="87"/>
      <c r="AV106" s="87"/>
      <c r="AW106" s="87"/>
      <c r="AX106" s="87"/>
      <c r="AY106" s="87"/>
      <c r="AZ106" s="87"/>
      <c r="BA106" s="87"/>
      <c r="BB106" s="87"/>
      <c r="BC106" s="87"/>
      <c r="BD106" s="87"/>
      <c r="BE106" s="87"/>
      <c r="BF106" s="87"/>
      <c r="BG106" s="87"/>
      <c r="BH106" s="87"/>
      <c r="BI106" s="87"/>
      <c r="BJ106" s="87"/>
      <c r="BK106" s="87"/>
      <c r="BL106" s="87"/>
      <c r="BM106" s="87"/>
      <c r="BN106" s="87"/>
      <c r="BO106" s="87"/>
      <c r="BP106" s="87"/>
      <c r="BQ106" s="87"/>
      <c r="BR106" s="87"/>
      <c r="BS106" s="87"/>
      <c r="BT106" s="87"/>
    </row>
    <row r="107" spans="1:72" ht="18.75">
      <c r="A107" s="7" t="s">
        <v>132</v>
      </c>
      <c r="B107" s="89">
        <v>365</v>
      </c>
      <c r="C107" s="42">
        <v>1414.1</v>
      </c>
      <c r="D107" s="42">
        <v>427.1</v>
      </c>
      <c r="E107" s="42">
        <v>295.8</v>
      </c>
      <c r="F107" s="42">
        <v>165.9</v>
      </c>
      <c r="G107" s="42">
        <v>68</v>
      </c>
      <c r="H107" s="64"/>
      <c r="I107" s="64"/>
      <c r="J107" s="42">
        <v>34.4</v>
      </c>
      <c r="K107" s="42">
        <v>3429.7</v>
      </c>
      <c r="L107" s="123">
        <f t="shared" si="22"/>
        <v>5835</v>
      </c>
      <c r="M107" s="42">
        <v>18.3</v>
      </c>
      <c r="N107" s="39">
        <f t="shared" si="19"/>
        <v>529.70000000000005</v>
      </c>
      <c r="O107" s="42">
        <v>34.4</v>
      </c>
      <c r="P107" s="92">
        <f t="shared" si="20"/>
        <v>564.1</v>
      </c>
      <c r="Q107" s="39">
        <f t="shared" si="16"/>
        <v>15.986000000000001</v>
      </c>
      <c r="R107" s="144">
        <f t="shared" si="17"/>
        <v>1.5454794520547945</v>
      </c>
      <c r="S107" s="128">
        <f t="shared" si="18"/>
        <v>0.77658489191158608</v>
      </c>
      <c r="T107" s="145">
        <f t="shared" si="21"/>
        <v>5853.3</v>
      </c>
    </row>
    <row r="108" spans="1:72" ht="18.75">
      <c r="A108" s="7" t="s">
        <v>133</v>
      </c>
      <c r="B108" s="89">
        <v>393</v>
      </c>
      <c r="C108" s="42">
        <v>1388.8</v>
      </c>
      <c r="D108" s="42">
        <v>419.4</v>
      </c>
      <c r="E108" s="42">
        <v>350.2</v>
      </c>
      <c r="F108" s="42">
        <v>222.8</v>
      </c>
      <c r="G108" s="42">
        <v>54</v>
      </c>
      <c r="H108" s="42">
        <v>0</v>
      </c>
      <c r="I108" s="64"/>
      <c r="J108" s="42">
        <v>34.4</v>
      </c>
      <c r="K108" s="42">
        <v>3447.4</v>
      </c>
      <c r="L108" s="123">
        <f t="shared" si="22"/>
        <v>5917</v>
      </c>
      <c r="M108" s="42">
        <v>22.2</v>
      </c>
      <c r="N108" s="39">
        <f t="shared" si="19"/>
        <v>627</v>
      </c>
      <c r="O108" s="42">
        <v>34.4</v>
      </c>
      <c r="P108" s="92">
        <f t="shared" si="20"/>
        <v>661.4</v>
      </c>
      <c r="Q108" s="39">
        <f t="shared" si="16"/>
        <v>15.055999999999999</v>
      </c>
      <c r="R108" s="144">
        <f t="shared" si="17"/>
        <v>1.6829516539440204</v>
      </c>
      <c r="S108" s="128">
        <f t="shared" si="18"/>
        <v>0.7314063638571775</v>
      </c>
      <c r="T108" s="145">
        <f t="shared" si="21"/>
        <v>5939.2</v>
      </c>
    </row>
    <row r="109" spans="1:72" s="107" customFormat="1" ht="18.75">
      <c r="A109" s="120">
        <v>84</v>
      </c>
      <c r="B109" s="106">
        <v>100</v>
      </c>
      <c r="C109" s="42">
        <v>899.9</v>
      </c>
      <c r="D109" s="42">
        <v>271.8</v>
      </c>
      <c r="E109" s="42">
        <v>242.5</v>
      </c>
      <c r="F109" s="42">
        <v>21.4</v>
      </c>
      <c r="G109" s="42">
        <v>23.1</v>
      </c>
      <c r="H109" s="66"/>
      <c r="I109" s="66"/>
      <c r="J109" s="42">
        <v>26.6</v>
      </c>
      <c r="K109" s="42">
        <v>1142.8</v>
      </c>
      <c r="L109" s="123">
        <f t="shared" si="22"/>
        <v>2628.1</v>
      </c>
      <c r="M109" s="42">
        <v>11.1</v>
      </c>
      <c r="N109" s="39">
        <f t="shared" si="19"/>
        <v>287</v>
      </c>
      <c r="O109" s="42">
        <v>26.6</v>
      </c>
      <c r="P109" s="92">
        <f t="shared" si="20"/>
        <v>313.60000000000002</v>
      </c>
      <c r="Q109" s="39">
        <f t="shared" si="16"/>
        <v>26.280999999999999</v>
      </c>
      <c r="R109" s="144">
        <f t="shared" si="17"/>
        <v>3.1360000000000001</v>
      </c>
      <c r="S109" s="128">
        <f t="shared" si="18"/>
        <v>1.2767063395676463</v>
      </c>
      <c r="T109" s="145">
        <f t="shared" si="21"/>
        <v>2639.2</v>
      </c>
      <c r="U109" s="80"/>
      <c r="V109" s="80"/>
      <c r="W109" s="87"/>
      <c r="X109" s="87"/>
      <c r="Y109" s="87"/>
      <c r="Z109" s="87"/>
      <c r="AA109" s="87"/>
      <c r="AB109" s="87"/>
      <c r="AC109" s="87"/>
      <c r="AD109" s="87"/>
      <c r="AE109" s="87"/>
      <c r="AF109" s="87"/>
      <c r="AG109" s="87"/>
      <c r="AH109" s="87"/>
      <c r="AI109" s="87"/>
      <c r="AJ109" s="87"/>
      <c r="AK109" s="87"/>
      <c r="AL109" s="87"/>
      <c r="AM109" s="87"/>
      <c r="AN109" s="87"/>
      <c r="AO109" s="87"/>
      <c r="AP109" s="87"/>
      <c r="AQ109" s="87"/>
      <c r="AR109" s="87"/>
      <c r="AS109" s="87"/>
      <c r="AT109" s="87"/>
      <c r="AU109" s="87"/>
      <c r="AV109" s="87"/>
      <c r="AW109" s="87"/>
      <c r="AX109" s="87"/>
      <c r="AY109" s="87"/>
      <c r="AZ109" s="87"/>
      <c r="BA109" s="87"/>
      <c r="BB109" s="87"/>
      <c r="BC109" s="87"/>
      <c r="BD109" s="87"/>
      <c r="BE109" s="87"/>
      <c r="BF109" s="87"/>
      <c r="BG109" s="87"/>
      <c r="BH109" s="87"/>
      <c r="BI109" s="87"/>
      <c r="BJ109" s="87"/>
      <c r="BK109" s="87"/>
      <c r="BL109" s="87"/>
      <c r="BM109" s="87"/>
      <c r="BN109" s="87"/>
      <c r="BO109" s="87"/>
      <c r="BP109" s="87"/>
      <c r="BQ109" s="87"/>
      <c r="BR109" s="87"/>
      <c r="BS109" s="87"/>
      <c r="BT109" s="87"/>
    </row>
    <row r="110" spans="1:72" s="107" customFormat="1" ht="18.75">
      <c r="A110" s="120">
        <v>94</v>
      </c>
      <c r="B110" s="106">
        <v>381</v>
      </c>
      <c r="C110" s="42">
        <v>1666.8</v>
      </c>
      <c r="D110" s="42">
        <v>503.4</v>
      </c>
      <c r="E110" s="42">
        <v>412.7</v>
      </c>
      <c r="F110" s="42">
        <v>301.60000000000002</v>
      </c>
      <c r="G110" s="42">
        <v>92.4</v>
      </c>
      <c r="H110" s="66"/>
      <c r="I110" s="66"/>
      <c r="J110" s="42">
        <v>34.4</v>
      </c>
      <c r="K110" s="42">
        <v>3493.3</v>
      </c>
      <c r="L110" s="123">
        <f t="shared" si="22"/>
        <v>6504.6</v>
      </c>
      <c r="M110" s="42">
        <v>30.4</v>
      </c>
      <c r="N110" s="39">
        <f t="shared" si="19"/>
        <v>806.69999999999993</v>
      </c>
      <c r="O110" s="42">
        <v>34.4</v>
      </c>
      <c r="P110" s="92">
        <f t="shared" si="20"/>
        <v>841.09999999999991</v>
      </c>
      <c r="Q110" s="39">
        <f t="shared" si="16"/>
        <v>17.071999999999999</v>
      </c>
      <c r="R110" s="144">
        <f t="shared" si="17"/>
        <v>2.20761154855643</v>
      </c>
      <c r="S110" s="128">
        <f t="shared" si="18"/>
        <v>0.82934175370415342</v>
      </c>
      <c r="T110" s="145">
        <f t="shared" si="21"/>
        <v>6535</v>
      </c>
      <c r="U110" s="80"/>
      <c r="V110" s="80"/>
      <c r="W110" s="87"/>
      <c r="X110" s="87"/>
      <c r="Y110" s="87"/>
      <c r="Z110" s="87"/>
      <c r="AA110" s="87"/>
      <c r="AB110" s="87"/>
      <c r="AC110" s="87"/>
      <c r="AD110" s="87"/>
      <c r="AE110" s="87"/>
      <c r="AF110" s="87"/>
      <c r="AG110" s="87"/>
      <c r="AH110" s="87"/>
      <c r="AI110" s="87"/>
      <c r="AJ110" s="87"/>
      <c r="AK110" s="87"/>
      <c r="AL110" s="87"/>
      <c r="AM110" s="87"/>
      <c r="AN110" s="87"/>
      <c r="AO110" s="87"/>
      <c r="AP110" s="87"/>
      <c r="AQ110" s="87"/>
      <c r="AR110" s="87"/>
      <c r="AS110" s="87"/>
      <c r="AT110" s="87"/>
      <c r="AU110" s="87"/>
      <c r="AV110" s="87"/>
      <c r="AW110" s="87"/>
      <c r="AX110" s="87"/>
      <c r="AY110" s="87"/>
      <c r="AZ110" s="87"/>
      <c r="BA110" s="87"/>
      <c r="BB110" s="87"/>
      <c r="BC110" s="87"/>
      <c r="BD110" s="87"/>
      <c r="BE110" s="87"/>
      <c r="BF110" s="87"/>
      <c r="BG110" s="87"/>
      <c r="BH110" s="87"/>
      <c r="BI110" s="87"/>
      <c r="BJ110" s="87"/>
      <c r="BK110" s="87"/>
      <c r="BL110" s="87"/>
      <c r="BM110" s="87"/>
      <c r="BN110" s="87"/>
      <c r="BO110" s="87"/>
      <c r="BP110" s="87"/>
      <c r="BQ110" s="87"/>
      <c r="BR110" s="87"/>
      <c r="BS110" s="87"/>
      <c r="BT110" s="87"/>
    </row>
    <row r="111" spans="1:72" s="107" customFormat="1" ht="18.75">
      <c r="A111" s="120">
        <v>101</v>
      </c>
      <c r="B111" s="106">
        <v>230</v>
      </c>
      <c r="C111" s="42">
        <v>1833.6</v>
      </c>
      <c r="D111" s="42">
        <v>553.70000000000005</v>
      </c>
      <c r="E111" s="42">
        <v>423.6</v>
      </c>
      <c r="F111" s="42">
        <v>144.30000000000001</v>
      </c>
      <c r="G111" s="42">
        <v>51</v>
      </c>
      <c r="H111" s="66"/>
      <c r="I111" s="66"/>
      <c r="J111" s="42">
        <v>36.1</v>
      </c>
      <c r="K111" s="42">
        <v>2900.5</v>
      </c>
      <c r="L111" s="123">
        <f t="shared" si="22"/>
        <v>5942.8</v>
      </c>
      <c r="M111" s="42">
        <v>12</v>
      </c>
      <c r="N111" s="39">
        <f t="shared" si="19"/>
        <v>618.90000000000009</v>
      </c>
      <c r="O111" s="42">
        <v>36.1</v>
      </c>
      <c r="P111" s="92">
        <f t="shared" si="20"/>
        <v>655.00000000000011</v>
      </c>
      <c r="Q111" s="39">
        <f t="shared" si="16"/>
        <v>25.838000000000001</v>
      </c>
      <c r="R111" s="144">
        <f t="shared" si="17"/>
        <v>2.8478260869565224</v>
      </c>
      <c r="S111" s="128">
        <f t="shared" si="18"/>
        <v>1.2551858149137722</v>
      </c>
      <c r="T111" s="145">
        <f t="shared" si="21"/>
        <v>5954.8</v>
      </c>
      <c r="U111" s="80"/>
      <c r="V111" s="80"/>
      <c r="W111" s="87"/>
      <c r="X111" s="87"/>
      <c r="Y111" s="87"/>
      <c r="Z111" s="87"/>
      <c r="AA111" s="87"/>
      <c r="AB111" s="87"/>
      <c r="AC111" s="87"/>
      <c r="AD111" s="87"/>
      <c r="AE111" s="87"/>
      <c r="AF111" s="87"/>
      <c r="AG111" s="87"/>
      <c r="AH111" s="87"/>
      <c r="AI111" s="87"/>
      <c r="AJ111" s="87"/>
      <c r="AK111" s="87"/>
      <c r="AL111" s="87"/>
      <c r="AM111" s="87"/>
      <c r="AN111" s="87"/>
      <c r="AO111" s="87"/>
      <c r="AP111" s="87"/>
      <c r="AQ111" s="87"/>
      <c r="AR111" s="87"/>
      <c r="AS111" s="87"/>
      <c r="AT111" s="87"/>
      <c r="AU111" s="87"/>
      <c r="AV111" s="87"/>
      <c r="AW111" s="87"/>
      <c r="AX111" s="87"/>
      <c r="AY111" s="87"/>
      <c r="AZ111" s="87"/>
      <c r="BA111" s="87"/>
      <c r="BB111" s="87"/>
      <c r="BC111" s="87"/>
      <c r="BD111" s="87"/>
      <c r="BE111" s="87"/>
      <c r="BF111" s="87"/>
      <c r="BG111" s="87"/>
      <c r="BH111" s="87"/>
      <c r="BI111" s="87"/>
      <c r="BJ111" s="87"/>
      <c r="BK111" s="87"/>
      <c r="BL111" s="87"/>
      <c r="BM111" s="87"/>
      <c r="BN111" s="87"/>
      <c r="BO111" s="87"/>
      <c r="BP111" s="87"/>
      <c r="BQ111" s="87"/>
      <c r="BR111" s="87"/>
      <c r="BS111" s="87"/>
      <c r="BT111" s="87"/>
    </row>
    <row r="112" spans="1:72" ht="18.75">
      <c r="A112" s="7" t="s">
        <v>134</v>
      </c>
      <c r="B112" s="89">
        <v>192</v>
      </c>
      <c r="C112" s="42">
        <v>1026.4000000000001</v>
      </c>
      <c r="D112" s="42">
        <v>310</v>
      </c>
      <c r="E112" s="42">
        <v>265.60000000000002</v>
      </c>
      <c r="F112" s="42">
        <v>41.6</v>
      </c>
      <c r="G112" s="42">
        <v>27.9</v>
      </c>
      <c r="H112" s="64"/>
      <c r="I112" s="64"/>
      <c r="J112" s="42">
        <v>26.6</v>
      </c>
      <c r="K112" s="42">
        <v>1914.6</v>
      </c>
      <c r="L112" s="123">
        <f t="shared" si="22"/>
        <v>3612.7</v>
      </c>
      <c r="M112" s="42">
        <v>11.8</v>
      </c>
      <c r="N112" s="39">
        <f t="shared" si="19"/>
        <v>335.1</v>
      </c>
      <c r="O112" s="42">
        <v>26.6</v>
      </c>
      <c r="P112" s="92">
        <f t="shared" si="20"/>
        <v>361.70000000000005</v>
      </c>
      <c r="Q112" s="39">
        <f t="shared" si="16"/>
        <v>18.815999999999999</v>
      </c>
      <c r="R112" s="144">
        <f t="shared" si="17"/>
        <v>1.8838541666666668</v>
      </c>
      <c r="S112" s="128">
        <f t="shared" si="18"/>
        <v>0.91406363857177553</v>
      </c>
      <c r="T112" s="145">
        <f t="shared" si="21"/>
        <v>3624.5</v>
      </c>
    </row>
    <row r="113" spans="1:72" ht="18.75">
      <c r="A113" s="7" t="s">
        <v>135</v>
      </c>
      <c r="B113" s="89">
        <v>159</v>
      </c>
      <c r="C113" s="42">
        <v>933.6</v>
      </c>
      <c r="D113" s="42">
        <v>281.89999999999998</v>
      </c>
      <c r="E113" s="42">
        <v>255.5</v>
      </c>
      <c r="F113" s="42">
        <v>24</v>
      </c>
      <c r="G113" s="42">
        <v>20.9</v>
      </c>
      <c r="H113" s="64"/>
      <c r="I113" s="64"/>
      <c r="J113" s="42">
        <v>25.9</v>
      </c>
      <c r="K113" s="42">
        <v>1562.4</v>
      </c>
      <c r="L113" s="123">
        <f t="shared" si="22"/>
        <v>3104.2</v>
      </c>
      <c r="M113" s="42">
        <v>9</v>
      </c>
      <c r="N113" s="39">
        <f t="shared" si="19"/>
        <v>300.39999999999998</v>
      </c>
      <c r="O113" s="42">
        <v>25.9</v>
      </c>
      <c r="P113" s="92">
        <f t="shared" si="20"/>
        <v>326.29999999999995</v>
      </c>
      <c r="Q113" s="39">
        <f t="shared" ref="Q113:Q148" si="23">ROUND(L113/B113,3)</f>
        <v>19.523</v>
      </c>
      <c r="R113" s="144">
        <f t="shared" ref="R113:R148" si="24">P113/B113</f>
        <v>2.0522012578616349</v>
      </c>
      <c r="S113" s="128">
        <f t="shared" si="18"/>
        <v>0.94840903570561086</v>
      </c>
      <c r="T113" s="145">
        <f t="shared" si="21"/>
        <v>3113.2</v>
      </c>
    </row>
    <row r="114" spans="1:72" s="107" customFormat="1" ht="18.75">
      <c r="A114" s="120">
        <v>148</v>
      </c>
      <c r="B114" s="106">
        <v>198</v>
      </c>
      <c r="C114" s="42">
        <v>1606.2</v>
      </c>
      <c r="D114" s="42">
        <v>485.1</v>
      </c>
      <c r="E114" s="42">
        <v>376.3</v>
      </c>
      <c r="F114" s="42">
        <v>48.7</v>
      </c>
      <c r="G114" s="42">
        <v>32.9</v>
      </c>
      <c r="H114" s="66"/>
      <c r="I114" s="66"/>
      <c r="J114" s="42">
        <v>37.5</v>
      </c>
      <c r="K114" s="42">
        <v>1939.3</v>
      </c>
      <c r="L114" s="123">
        <f t="shared" si="22"/>
        <v>4526</v>
      </c>
      <c r="M114" s="42">
        <v>21</v>
      </c>
      <c r="N114" s="39">
        <f t="shared" si="19"/>
        <v>457.9</v>
      </c>
      <c r="O114" s="42">
        <v>37.5</v>
      </c>
      <c r="P114" s="92">
        <f t="shared" si="20"/>
        <v>495.4</v>
      </c>
      <c r="Q114" s="39">
        <f t="shared" si="23"/>
        <v>22.859000000000002</v>
      </c>
      <c r="R114" s="144">
        <f t="shared" si="24"/>
        <v>2.5020202020202018</v>
      </c>
      <c r="S114" s="128">
        <f t="shared" si="18"/>
        <v>1.1104687879523925</v>
      </c>
      <c r="T114" s="145">
        <f t="shared" si="21"/>
        <v>4547</v>
      </c>
      <c r="U114" s="80"/>
      <c r="V114" s="80"/>
      <c r="W114" s="87"/>
      <c r="X114" s="87"/>
      <c r="Y114" s="87"/>
      <c r="Z114" s="87"/>
      <c r="AA114" s="87"/>
      <c r="AB114" s="87"/>
      <c r="AC114" s="87"/>
      <c r="AD114" s="87"/>
      <c r="AE114" s="87"/>
      <c r="AF114" s="87"/>
      <c r="AG114" s="87"/>
      <c r="AH114" s="87"/>
      <c r="AI114" s="87"/>
      <c r="AJ114" s="87"/>
      <c r="AK114" s="87"/>
      <c r="AL114" s="87"/>
      <c r="AM114" s="87"/>
      <c r="AN114" s="87"/>
      <c r="AO114" s="87"/>
      <c r="AP114" s="87"/>
      <c r="AQ114" s="87"/>
      <c r="AR114" s="87"/>
      <c r="AS114" s="87"/>
      <c r="AT114" s="87"/>
      <c r="AU114" s="87"/>
      <c r="AV114" s="87"/>
      <c r="AW114" s="87"/>
      <c r="AX114" s="87"/>
      <c r="AY114" s="87"/>
      <c r="AZ114" s="87"/>
      <c r="BA114" s="87"/>
      <c r="BB114" s="87"/>
      <c r="BC114" s="87"/>
      <c r="BD114" s="87"/>
      <c r="BE114" s="87"/>
      <c r="BF114" s="87"/>
      <c r="BG114" s="87"/>
      <c r="BH114" s="87"/>
      <c r="BI114" s="87"/>
      <c r="BJ114" s="87"/>
      <c r="BK114" s="87"/>
      <c r="BL114" s="87"/>
      <c r="BM114" s="87"/>
      <c r="BN114" s="87"/>
      <c r="BO114" s="87"/>
      <c r="BP114" s="87"/>
      <c r="BQ114" s="87"/>
      <c r="BR114" s="87"/>
      <c r="BS114" s="87"/>
      <c r="BT114" s="87"/>
    </row>
    <row r="115" spans="1:72" ht="18.75">
      <c r="A115" s="7" t="s">
        <v>136</v>
      </c>
      <c r="B115" s="89">
        <v>325</v>
      </c>
      <c r="C115" s="42">
        <v>1355</v>
      </c>
      <c r="D115" s="42">
        <v>409.2</v>
      </c>
      <c r="E115" s="42">
        <v>243.7</v>
      </c>
      <c r="F115" s="42">
        <v>131.30000000000001</v>
      </c>
      <c r="G115" s="42">
        <v>31</v>
      </c>
      <c r="H115" s="64"/>
      <c r="I115" s="64"/>
      <c r="J115" s="42">
        <v>30.6</v>
      </c>
      <c r="K115" s="42">
        <v>2748.2</v>
      </c>
      <c r="L115" s="123">
        <f t="shared" si="22"/>
        <v>4949</v>
      </c>
      <c r="M115" s="42">
        <v>20.100000000000001</v>
      </c>
      <c r="N115" s="39">
        <f t="shared" si="19"/>
        <v>406</v>
      </c>
      <c r="O115" s="42">
        <v>30.6</v>
      </c>
      <c r="P115" s="92">
        <f t="shared" si="20"/>
        <v>436.6</v>
      </c>
      <c r="Q115" s="39">
        <f t="shared" si="23"/>
        <v>15.228</v>
      </c>
      <c r="R115" s="144">
        <f t="shared" si="24"/>
        <v>1.3433846153846154</v>
      </c>
      <c r="S115" s="128">
        <f t="shared" si="18"/>
        <v>0.73976196259412186</v>
      </c>
      <c r="T115" s="145">
        <f t="shared" si="21"/>
        <v>4969.1000000000004</v>
      </c>
    </row>
    <row r="116" spans="1:72" ht="18.75">
      <c r="A116" s="7" t="s">
        <v>137</v>
      </c>
      <c r="B116" s="89">
        <v>353</v>
      </c>
      <c r="C116" s="42">
        <v>1439.3</v>
      </c>
      <c r="D116" s="42">
        <v>434.7</v>
      </c>
      <c r="E116" s="42">
        <v>327.5</v>
      </c>
      <c r="F116" s="42">
        <v>202.2</v>
      </c>
      <c r="G116" s="42">
        <v>64.5</v>
      </c>
      <c r="H116" s="64"/>
      <c r="I116" s="64"/>
      <c r="J116" s="42">
        <v>34.4</v>
      </c>
      <c r="K116" s="42">
        <v>3157.1</v>
      </c>
      <c r="L116" s="123">
        <f t="shared" si="22"/>
        <v>5659.7</v>
      </c>
      <c r="M116" s="42">
        <v>70.8</v>
      </c>
      <c r="N116" s="39">
        <f t="shared" si="19"/>
        <v>594.20000000000005</v>
      </c>
      <c r="O116" s="42">
        <v>34.4</v>
      </c>
      <c r="P116" s="92">
        <f t="shared" si="20"/>
        <v>628.6</v>
      </c>
      <c r="Q116" s="39">
        <f t="shared" si="23"/>
        <v>16.033000000000001</v>
      </c>
      <c r="R116" s="144">
        <f t="shared" si="24"/>
        <v>1.7807365439093485</v>
      </c>
      <c r="S116" s="128">
        <f t="shared" si="18"/>
        <v>0.77886810784551863</v>
      </c>
      <c r="T116" s="145">
        <f t="shared" si="21"/>
        <v>5730.5</v>
      </c>
    </row>
    <row r="117" spans="1:72" ht="18.75">
      <c r="A117" s="7" t="s">
        <v>138</v>
      </c>
      <c r="B117" s="89">
        <v>146</v>
      </c>
      <c r="C117" s="42">
        <v>933.6</v>
      </c>
      <c r="D117" s="42">
        <v>281.89999999999998</v>
      </c>
      <c r="E117" s="42">
        <v>172.9</v>
      </c>
      <c r="F117" s="42">
        <v>52.2</v>
      </c>
      <c r="G117" s="42">
        <v>17.899999999999999</v>
      </c>
      <c r="H117" s="64"/>
      <c r="I117" s="64"/>
      <c r="J117" s="42">
        <v>25.9</v>
      </c>
      <c r="K117" s="42">
        <v>1394</v>
      </c>
      <c r="L117" s="123">
        <f t="shared" ref="L117:L147" si="25">ROUND(C117+D117+H117+J117+K117+F117+G117+E117,1)</f>
        <v>2878.4</v>
      </c>
      <c r="M117" s="42">
        <v>10.1</v>
      </c>
      <c r="N117" s="39">
        <f t="shared" si="19"/>
        <v>243.00000000000003</v>
      </c>
      <c r="O117" s="42">
        <v>25.9</v>
      </c>
      <c r="P117" s="92">
        <f t="shared" si="20"/>
        <v>268.90000000000003</v>
      </c>
      <c r="Q117" s="39">
        <f t="shared" si="23"/>
        <v>19.715</v>
      </c>
      <c r="R117" s="144">
        <f t="shared" si="24"/>
        <v>1.8417808219178085</v>
      </c>
      <c r="S117" s="128">
        <f t="shared" si="18"/>
        <v>0.95773621569103706</v>
      </c>
      <c r="T117" s="145">
        <f t="shared" si="21"/>
        <v>2888.5</v>
      </c>
    </row>
    <row r="118" spans="1:72" ht="18.75">
      <c r="A118" s="7" t="s">
        <v>139</v>
      </c>
      <c r="B118" s="89">
        <v>399</v>
      </c>
      <c r="C118" s="42">
        <v>1464.6</v>
      </c>
      <c r="D118" s="42">
        <v>442.3</v>
      </c>
      <c r="E118" s="42">
        <v>353.7</v>
      </c>
      <c r="F118" s="42">
        <v>231.9</v>
      </c>
      <c r="G118" s="42">
        <v>53.9</v>
      </c>
      <c r="H118" s="64"/>
      <c r="I118" s="64"/>
      <c r="J118" s="42">
        <v>34.4</v>
      </c>
      <c r="K118" s="42">
        <v>3459.9</v>
      </c>
      <c r="L118" s="123">
        <f t="shared" si="25"/>
        <v>6040.7</v>
      </c>
      <c r="M118" s="42">
        <v>15.7</v>
      </c>
      <c r="N118" s="39">
        <f t="shared" si="19"/>
        <v>639.5</v>
      </c>
      <c r="O118" s="42">
        <v>34.4</v>
      </c>
      <c r="P118" s="92">
        <f t="shared" si="20"/>
        <v>673.9</v>
      </c>
      <c r="Q118" s="39">
        <f t="shared" si="23"/>
        <v>15.14</v>
      </c>
      <c r="R118" s="144">
        <f t="shared" si="24"/>
        <v>1.6889724310776941</v>
      </c>
      <c r="S118" s="128">
        <f t="shared" si="18"/>
        <v>0.73548700510080156</v>
      </c>
      <c r="T118" s="145">
        <f t="shared" si="21"/>
        <v>6056.4</v>
      </c>
    </row>
    <row r="119" spans="1:72" ht="18.75">
      <c r="A119" s="7" t="s">
        <v>140</v>
      </c>
      <c r="B119" s="89">
        <v>224</v>
      </c>
      <c r="C119" s="42">
        <v>1161.3</v>
      </c>
      <c r="D119" s="42">
        <v>350.7</v>
      </c>
      <c r="E119" s="42">
        <v>200.4</v>
      </c>
      <c r="F119" s="42">
        <v>61.5</v>
      </c>
      <c r="G119" s="42">
        <v>22.4</v>
      </c>
      <c r="H119" s="64"/>
      <c r="I119" s="64"/>
      <c r="J119" s="42">
        <v>26.6</v>
      </c>
      <c r="K119" s="42">
        <v>2069.4</v>
      </c>
      <c r="L119" s="123">
        <f t="shared" si="25"/>
        <v>3892.3</v>
      </c>
      <c r="M119" s="42">
        <v>11.6</v>
      </c>
      <c r="N119" s="39">
        <f t="shared" si="19"/>
        <v>284.29999999999995</v>
      </c>
      <c r="O119" s="42">
        <v>26.6</v>
      </c>
      <c r="P119" s="92">
        <f t="shared" si="20"/>
        <v>310.89999999999998</v>
      </c>
      <c r="Q119" s="39">
        <f t="shared" si="23"/>
        <v>17.376000000000001</v>
      </c>
      <c r="R119" s="144">
        <f t="shared" si="24"/>
        <v>1.3879464285714285</v>
      </c>
      <c r="S119" s="128">
        <f t="shared" si="18"/>
        <v>0.84410978868107844</v>
      </c>
      <c r="T119" s="145">
        <f t="shared" si="21"/>
        <v>3903.9</v>
      </c>
    </row>
    <row r="120" spans="1:72" ht="18.75">
      <c r="A120" s="7" t="s">
        <v>141</v>
      </c>
      <c r="B120" s="89">
        <v>374</v>
      </c>
      <c r="C120" s="42">
        <v>1464.6</v>
      </c>
      <c r="D120" s="42">
        <v>442.3</v>
      </c>
      <c r="E120" s="42">
        <v>310.5</v>
      </c>
      <c r="F120" s="42">
        <v>217.9</v>
      </c>
      <c r="G120" s="42">
        <v>47.2</v>
      </c>
      <c r="H120" s="64"/>
      <c r="I120" s="64"/>
      <c r="J120" s="42">
        <v>34.4</v>
      </c>
      <c r="K120" s="42">
        <v>3348.3</v>
      </c>
      <c r="L120" s="123">
        <f t="shared" si="25"/>
        <v>5865.2</v>
      </c>
      <c r="M120" s="42">
        <v>18.600000000000001</v>
      </c>
      <c r="N120" s="39">
        <f t="shared" si="19"/>
        <v>575.6</v>
      </c>
      <c r="O120" s="42">
        <v>34.4</v>
      </c>
      <c r="P120" s="92">
        <f t="shared" si="20"/>
        <v>610</v>
      </c>
      <c r="Q120" s="39">
        <f t="shared" si="23"/>
        <v>15.682</v>
      </c>
      <c r="R120" s="144">
        <f t="shared" si="24"/>
        <v>1.6310160427807487</v>
      </c>
      <c r="S120" s="128">
        <f t="shared" si="18"/>
        <v>0.76181685693466117</v>
      </c>
      <c r="T120" s="145">
        <f t="shared" si="21"/>
        <v>5883.8</v>
      </c>
    </row>
    <row r="121" spans="1:72" ht="18.75">
      <c r="A121" s="7" t="s">
        <v>142</v>
      </c>
      <c r="B121" s="89">
        <v>177</v>
      </c>
      <c r="C121" s="42">
        <v>948.2</v>
      </c>
      <c r="D121" s="42">
        <v>286.39999999999998</v>
      </c>
      <c r="E121" s="42">
        <v>287.5</v>
      </c>
      <c r="F121" s="42">
        <v>110.9</v>
      </c>
      <c r="G121" s="42">
        <v>27.8</v>
      </c>
      <c r="H121" s="64"/>
      <c r="I121" s="64"/>
      <c r="J121" s="42">
        <v>25.9</v>
      </c>
      <c r="K121" s="42">
        <v>1681.3</v>
      </c>
      <c r="L121" s="123">
        <f t="shared" si="25"/>
        <v>3368</v>
      </c>
      <c r="M121" s="42">
        <v>26.3</v>
      </c>
      <c r="N121" s="39">
        <f t="shared" si="19"/>
        <v>426.2</v>
      </c>
      <c r="O121" s="42">
        <v>25.9</v>
      </c>
      <c r="P121" s="92">
        <f t="shared" si="20"/>
        <v>452.09999999999997</v>
      </c>
      <c r="Q121" s="39">
        <f t="shared" si="23"/>
        <v>19.027999999999999</v>
      </c>
      <c r="R121" s="144">
        <f t="shared" si="24"/>
        <v>2.5542372881355928</v>
      </c>
      <c r="S121" s="128">
        <f t="shared" si="18"/>
        <v>0.92436239980568369</v>
      </c>
      <c r="T121" s="145">
        <f t="shared" si="21"/>
        <v>3394.3</v>
      </c>
    </row>
    <row r="122" spans="1:72" ht="18.75">
      <c r="A122" s="7" t="s">
        <v>143</v>
      </c>
      <c r="B122" s="89">
        <v>390</v>
      </c>
      <c r="C122" s="42">
        <v>1616.3</v>
      </c>
      <c r="D122" s="42">
        <v>488.1</v>
      </c>
      <c r="E122" s="42">
        <v>468.3</v>
      </c>
      <c r="F122" s="42">
        <v>107.5</v>
      </c>
      <c r="G122" s="42">
        <v>54.5</v>
      </c>
      <c r="H122" s="64"/>
      <c r="I122" s="64"/>
      <c r="J122" s="42">
        <v>34.4</v>
      </c>
      <c r="K122" s="42">
        <v>3680.6</v>
      </c>
      <c r="L122" s="123">
        <f t="shared" si="25"/>
        <v>6449.7</v>
      </c>
      <c r="M122" s="42">
        <v>17.3</v>
      </c>
      <c r="N122" s="39">
        <f t="shared" si="19"/>
        <v>630.29999999999995</v>
      </c>
      <c r="O122" s="42">
        <v>34.4</v>
      </c>
      <c r="P122" s="92">
        <f t="shared" si="20"/>
        <v>664.69999999999993</v>
      </c>
      <c r="Q122" s="39">
        <f t="shared" si="23"/>
        <v>16.538</v>
      </c>
      <c r="R122" s="144">
        <f t="shared" si="24"/>
        <v>1.7043589743589742</v>
      </c>
      <c r="S122" s="128">
        <f t="shared" si="18"/>
        <v>0.80340053436968661</v>
      </c>
      <c r="T122" s="145">
        <f t="shared" si="21"/>
        <v>6467</v>
      </c>
    </row>
    <row r="123" spans="1:72" ht="18.75">
      <c r="A123" s="7" t="s">
        <v>144</v>
      </c>
      <c r="B123" s="89">
        <v>312</v>
      </c>
      <c r="C123" s="42">
        <v>1800</v>
      </c>
      <c r="D123" s="42">
        <v>543.6</v>
      </c>
      <c r="E123" s="42">
        <v>663.7</v>
      </c>
      <c r="F123" s="42">
        <v>55.8</v>
      </c>
      <c r="G123" s="42">
        <v>42.1</v>
      </c>
      <c r="H123" s="64"/>
      <c r="I123" s="64"/>
      <c r="J123" s="42">
        <v>37.5</v>
      </c>
      <c r="K123" s="42">
        <v>2890.2</v>
      </c>
      <c r="L123" s="123">
        <f t="shared" si="25"/>
        <v>6032.9</v>
      </c>
      <c r="M123" s="42">
        <v>24.8</v>
      </c>
      <c r="N123" s="39">
        <f t="shared" si="19"/>
        <v>761.6</v>
      </c>
      <c r="O123" s="42">
        <v>37.5</v>
      </c>
      <c r="P123" s="92">
        <f t="shared" si="20"/>
        <v>799.1</v>
      </c>
      <c r="Q123" s="39">
        <f t="shared" si="23"/>
        <v>19.335999999999999</v>
      </c>
      <c r="R123" s="144">
        <f t="shared" si="24"/>
        <v>2.5612179487179487</v>
      </c>
      <c r="S123" s="128">
        <f t="shared" si="18"/>
        <v>0.93932475103230495</v>
      </c>
      <c r="T123" s="145">
        <f t="shared" si="21"/>
        <v>6057.7</v>
      </c>
    </row>
    <row r="124" spans="1:72" s="107" customFormat="1" ht="18.75">
      <c r="A124" s="120">
        <v>194</v>
      </c>
      <c r="B124" s="106">
        <v>136</v>
      </c>
      <c r="C124" s="42">
        <v>866.4</v>
      </c>
      <c r="D124" s="42">
        <v>261.7</v>
      </c>
      <c r="E124" s="42">
        <v>279.10000000000002</v>
      </c>
      <c r="F124" s="42">
        <v>32.1</v>
      </c>
      <c r="G124" s="42">
        <v>24.7</v>
      </c>
      <c r="H124" s="66"/>
      <c r="I124" s="66"/>
      <c r="J124" s="42">
        <v>25.9</v>
      </c>
      <c r="K124" s="42">
        <v>1681.2</v>
      </c>
      <c r="L124" s="123">
        <f t="shared" si="25"/>
        <v>3171.1</v>
      </c>
      <c r="M124" s="42">
        <v>8</v>
      </c>
      <c r="N124" s="39">
        <f t="shared" si="19"/>
        <v>335.90000000000003</v>
      </c>
      <c r="O124" s="42">
        <v>25.9</v>
      </c>
      <c r="P124" s="92">
        <f t="shared" si="20"/>
        <v>361.8</v>
      </c>
      <c r="Q124" s="39">
        <f t="shared" si="23"/>
        <v>23.317</v>
      </c>
      <c r="R124" s="144">
        <f t="shared" si="24"/>
        <v>2.6602941176470587</v>
      </c>
      <c r="S124" s="128">
        <f t="shared" si="18"/>
        <v>1.1327179985426281</v>
      </c>
      <c r="T124" s="145">
        <f t="shared" si="21"/>
        <v>3179.1</v>
      </c>
      <c r="U124" s="80"/>
      <c r="V124" s="80"/>
      <c r="W124" s="87"/>
      <c r="X124" s="87"/>
      <c r="Y124" s="87"/>
      <c r="Z124" s="87"/>
      <c r="AA124" s="87"/>
      <c r="AB124" s="87"/>
      <c r="AC124" s="87"/>
      <c r="AD124" s="87"/>
      <c r="AE124" s="87"/>
      <c r="AF124" s="87"/>
      <c r="AG124" s="87"/>
      <c r="AH124" s="87"/>
      <c r="AI124" s="87"/>
      <c r="AJ124" s="87"/>
      <c r="AK124" s="87"/>
      <c r="AL124" s="87"/>
      <c r="AM124" s="87"/>
      <c r="AN124" s="87"/>
      <c r="AO124" s="87"/>
      <c r="AP124" s="87"/>
      <c r="AQ124" s="87"/>
      <c r="AR124" s="87"/>
      <c r="AS124" s="87"/>
      <c r="AT124" s="87"/>
      <c r="AU124" s="87"/>
      <c r="AV124" s="87"/>
      <c r="AW124" s="87"/>
      <c r="AX124" s="87"/>
      <c r="AY124" s="87"/>
      <c r="AZ124" s="87"/>
      <c r="BA124" s="87"/>
      <c r="BB124" s="87"/>
      <c r="BC124" s="87"/>
      <c r="BD124" s="87"/>
      <c r="BE124" s="87"/>
      <c r="BF124" s="87"/>
      <c r="BG124" s="87"/>
      <c r="BH124" s="87"/>
      <c r="BI124" s="87"/>
      <c r="BJ124" s="87"/>
      <c r="BK124" s="87"/>
      <c r="BL124" s="87"/>
      <c r="BM124" s="87"/>
      <c r="BN124" s="87"/>
      <c r="BO124" s="87"/>
      <c r="BP124" s="87"/>
      <c r="BQ124" s="87"/>
      <c r="BR124" s="87"/>
      <c r="BS124" s="87"/>
      <c r="BT124" s="87"/>
    </row>
    <row r="125" spans="1:72" ht="18.75">
      <c r="A125" s="7" t="s">
        <v>145</v>
      </c>
      <c r="B125" s="89">
        <v>380</v>
      </c>
      <c r="C125" s="42">
        <v>1666.8</v>
      </c>
      <c r="D125" s="42">
        <v>503.4</v>
      </c>
      <c r="E125" s="42">
        <v>381.2</v>
      </c>
      <c r="F125" s="42">
        <v>229.1</v>
      </c>
      <c r="G125" s="42">
        <v>66.400000000000006</v>
      </c>
      <c r="H125" s="64"/>
      <c r="I125" s="64"/>
      <c r="J125" s="42">
        <v>34.4</v>
      </c>
      <c r="K125" s="42">
        <v>3529.6</v>
      </c>
      <c r="L125" s="123">
        <f t="shared" si="25"/>
        <v>6410.9</v>
      </c>
      <c r="M125" s="42">
        <v>17.3</v>
      </c>
      <c r="N125" s="39">
        <f t="shared" si="19"/>
        <v>676.69999999999993</v>
      </c>
      <c r="O125" s="42">
        <v>34.4</v>
      </c>
      <c r="P125" s="92">
        <f t="shared" si="20"/>
        <v>711.09999999999991</v>
      </c>
      <c r="Q125" s="39">
        <f t="shared" si="23"/>
        <v>16.870999999999999</v>
      </c>
      <c r="R125" s="144">
        <f t="shared" si="24"/>
        <v>1.871315789473684</v>
      </c>
      <c r="S125" s="128">
        <f t="shared" si="18"/>
        <v>0.81957736215691024</v>
      </c>
      <c r="T125" s="145">
        <f t="shared" si="21"/>
        <v>6428.2</v>
      </c>
    </row>
    <row r="126" spans="1:72" s="107" customFormat="1" ht="18.75">
      <c r="A126" s="120">
        <v>209</v>
      </c>
      <c r="B126" s="106">
        <v>317</v>
      </c>
      <c r="C126" s="42">
        <v>1666.8</v>
      </c>
      <c r="D126" s="42">
        <v>503.4</v>
      </c>
      <c r="E126" s="42">
        <v>487.9</v>
      </c>
      <c r="F126" s="42">
        <v>260.79999999999995</v>
      </c>
      <c r="G126" s="42">
        <v>66.8</v>
      </c>
      <c r="H126" s="66"/>
      <c r="I126" s="66"/>
      <c r="J126" s="42">
        <v>34.4</v>
      </c>
      <c r="K126" s="42">
        <v>3265.9</v>
      </c>
      <c r="L126" s="123">
        <f t="shared" si="25"/>
        <v>6286</v>
      </c>
      <c r="M126" s="42">
        <v>20.2</v>
      </c>
      <c r="N126" s="39">
        <f t="shared" si="19"/>
        <v>815.49999999999989</v>
      </c>
      <c r="O126" s="42">
        <v>34.4</v>
      </c>
      <c r="P126" s="92">
        <f t="shared" si="20"/>
        <v>849.89999999999986</v>
      </c>
      <c r="Q126" s="39">
        <f t="shared" si="23"/>
        <v>19.829999999999998</v>
      </c>
      <c r="R126" s="144">
        <f t="shared" si="24"/>
        <v>2.6810725552050467</v>
      </c>
      <c r="S126" s="128">
        <f t="shared" si="18"/>
        <v>0.96332280786980795</v>
      </c>
      <c r="T126" s="145">
        <f t="shared" si="21"/>
        <v>6306.2</v>
      </c>
      <c r="U126" s="80"/>
      <c r="V126" s="80"/>
      <c r="W126" s="87"/>
      <c r="X126" s="87"/>
      <c r="Y126" s="87"/>
      <c r="Z126" s="87"/>
      <c r="AA126" s="87"/>
      <c r="AB126" s="87"/>
      <c r="AC126" s="87"/>
      <c r="AD126" s="87"/>
      <c r="AE126" s="87"/>
      <c r="AF126" s="87"/>
      <c r="AG126" s="87"/>
      <c r="AH126" s="87"/>
      <c r="AI126" s="87"/>
      <c r="AJ126" s="87"/>
      <c r="AK126" s="87"/>
      <c r="AL126" s="87"/>
      <c r="AM126" s="87"/>
      <c r="AN126" s="87"/>
      <c r="AO126" s="87"/>
      <c r="AP126" s="87"/>
      <c r="AQ126" s="87"/>
      <c r="AR126" s="87"/>
      <c r="AS126" s="87"/>
      <c r="AT126" s="87"/>
      <c r="AU126" s="87"/>
      <c r="AV126" s="87"/>
      <c r="AW126" s="87"/>
      <c r="AX126" s="87"/>
      <c r="AY126" s="87"/>
      <c r="AZ126" s="87"/>
      <c r="BA126" s="87"/>
      <c r="BB126" s="87"/>
      <c r="BC126" s="87"/>
      <c r="BD126" s="87"/>
      <c r="BE126" s="87"/>
      <c r="BF126" s="87"/>
      <c r="BG126" s="87"/>
      <c r="BH126" s="87"/>
      <c r="BI126" s="87"/>
      <c r="BJ126" s="87"/>
      <c r="BK126" s="87"/>
      <c r="BL126" s="87"/>
      <c r="BM126" s="87"/>
      <c r="BN126" s="87"/>
      <c r="BO126" s="87"/>
      <c r="BP126" s="87"/>
      <c r="BQ126" s="87"/>
      <c r="BR126" s="87"/>
      <c r="BS126" s="87"/>
      <c r="BT126" s="87"/>
    </row>
    <row r="127" spans="1:72" s="107" customFormat="1" ht="18.75">
      <c r="A127" s="120">
        <v>210</v>
      </c>
      <c r="B127" s="106">
        <v>159</v>
      </c>
      <c r="C127" s="42">
        <v>1135.9000000000001</v>
      </c>
      <c r="D127" s="42">
        <v>343</v>
      </c>
      <c r="E127" s="42">
        <v>322.3</v>
      </c>
      <c r="F127" s="42">
        <v>82</v>
      </c>
      <c r="G127" s="42">
        <v>27.2</v>
      </c>
      <c r="H127" s="66"/>
      <c r="I127" s="66"/>
      <c r="J127" s="42">
        <v>26.6</v>
      </c>
      <c r="K127" s="42">
        <v>1620.8</v>
      </c>
      <c r="L127" s="123">
        <f t="shared" si="25"/>
        <v>3557.8</v>
      </c>
      <c r="M127" s="42">
        <v>18.8</v>
      </c>
      <c r="N127" s="39">
        <f t="shared" si="19"/>
        <v>431.5</v>
      </c>
      <c r="O127" s="42">
        <v>26.6</v>
      </c>
      <c r="P127" s="92">
        <f t="shared" si="20"/>
        <v>458.1</v>
      </c>
      <c r="Q127" s="39">
        <f t="shared" si="23"/>
        <v>22.376000000000001</v>
      </c>
      <c r="R127" s="144">
        <f t="shared" si="24"/>
        <v>2.8811320754716983</v>
      </c>
      <c r="S127" s="128">
        <f t="shared" si="18"/>
        <v>1.0870051008015544</v>
      </c>
      <c r="T127" s="145">
        <f t="shared" si="21"/>
        <v>3576.6000000000004</v>
      </c>
      <c r="U127" s="80"/>
      <c r="V127" s="80"/>
      <c r="W127" s="87"/>
      <c r="X127" s="87"/>
      <c r="Y127" s="87"/>
      <c r="Z127" s="87"/>
      <c r="AA127" s="87"/>
      <c r="AB127" s="87"/>
      <c r="AC127" s="87"/>
      <c r="AD127" s="87"/>
      <c r="AE127" s="87"/>
      <c r="AF127" s="87"/>
      <c r="AG127" s="87"/>
      <c r="AH127" s="87"/>
      <c r="AI127" s="87"/>
      <c r="AJ127" s="87"/>
      <c r="AK127" s="87"/>
      <c r="AL127" s="87"/>
      <c r="AM127" s="87"/>
      <c r="AN127" s="87"/>
      <c r="AO127" s="87"/>
      <c r="AP127" s="87"/>
      <c r="AQ127" s="87"/>
      <c r="AR127" s="87"/>
      <c r="AS127" s="87"/>
      <c r="AT127" s="87"/>
      <c r="AU127" s="87"/>
      <c r="AV127" s="87"/>
      <c r="AW127" s="87"/>
      <c r="AX127" s="87"/>
      <c r="AY127" s="87"/>
      <c r="AZ127" s="87"/>
      <c r="BA127" s="87"/>
      <c r="BB127" s="87"/>
      <c r="BC127" s="87"/>
      <c r="BD127" s="87"/>
      <c r="BE127" s="87"/>
      <c r="BF127" s="87"/>
      <c r="BG127" s="87"/>
      <c r="BH127" s="87"/>
      <c r="BI127" s="87"/>
      <c r="BJ127" s="87"/>
      <c r="BK127" s="87"/>
      <c r="BL127" s="87"/>
      <c r="BM127" s="87"/>
      <c r="BN127" s="87"/>
      <c r="BO127" s="87"/>
      <c r="BP127" s="87"/>
      <c r="BQ127" s="87"/>
      <c r="BR127" s="87"/>
      <c r="BS127" s="87"/>
      <c r="BT127" s="87"/>
    </row>
    <row r="128" spans="1:72" ht="18.75">
      <c r="A128" s="7" t="s">
        <v>146</v>
      </c>
      <c r="B128" s="89">
        <v>199</v>
      </c>
      <c r="C128" s="42">
        <v>1034.8</v>
      </c>
      <c r="D128" s="42">
        <v>312.5</v>
      </c>
      <c r="E128" s="42">
        <v>255.5</v>
      </c>
      <c r="F128" s="42">
        <v>58.2</v>
      </c>
      <c r="G128" s="42">
        <v>26.2</v>
      </c>
      <c r="H128" s="64"/>
      <c r="I128" s="64"/>
      <c r="J128" s="42">
        <v>26.6</v>
      </c>
      <c r="K128" s="42">
        <v>1932.3</v>
      </c>
      <c r="L128" s="123">
        <f t="shared" si="25"/>
        <v>3646.1</v>
      </c>
      <c r="M128" s="42">
        <v>10.5</v>
      </c>
      <c r="N128" s="39">
        <f t="shared" si="19"/>
        <v>339.9</v>
      </c>
      <c r="O128" s="42">
        <v>26.6</v>
      </c>
      <c r="P128" s="92">
        <f t="shared" si="20"/>
        <v>366.5</v>
      </c>
      <c r="Q128" s="39">
        <f t="shared" si="23"/>
        <v>18.321999999999999</v>
      </c>
      <c r="R128" s="144">
        <f t="shared" si="24"/>
        <v>1.8417085427135678</v>
      </c>
      <c r="S128" s="128">
        <f t="shared" si="18"/>
        <v>0.89006558173427242</v>
      </c>
      <c r="T128" s="145">
        <f t="shared" si="21"/>
        <v>3656.6</v>
      </c>
    </row>
    <row r="129" spans="1:22" ht="18.75">
      <c r="A129" s="7" t="s">
        <v>147</v>
      </c>
      <c r="B129" s="89">
        <v>367</v>
      </c>
      <c r="C129" s="42">
        <v>1591</v>
      </c>
      <c r="D129" s="42">
        <v>480.5</v>
      </c>
      <c r="E129" s="42">
        <v>369.5</v>
      </c>
      <c r="F129" s="42">
        <v>277.10000000000002</v>
      </c>
      <c r="G129" s="42">
        <v>89.1</v>
      </c>
      <c r="H129" s="64"/>
      <c r="I129" s="64"/>
      <c r="J129" s="42">
        <v>32.299999999999997</v>
      </c>
      <c r="K129" s="42">
        <v>3113</v>
      </c>
      <c r="L129" s="123">
        <f t="shared" si="25"/>
        <v>5952.5</v>
      </c>
      <c r="M129" s="42">
        <v>22.1</v>
      </c>
      <c r="N129" s="39">
        <f t="shared" si="19"/>
        <v>735.7</v>
      </c>
      <c r="O129" s="42">
        <v>32.299999999999997</v>
      </c>
      <c r="P129" s="92">
        <f t="shared" si="20"/>
        <v>768</v>
      </c>
      <c r="Q129" s="39">
        <f t="shared" si="23"/>
        <v>16.219000000000001</v>
      </c>
      <c r="R129" s="144">
        <f t="shared" si="24"/>
        <v>2.092643051771117</v>
      </c>
      <c r="S129" s="128">
        <f t="shared" si="18"/>
        <v>0.78790381345640037</v>
      </c>
      <c r="T129" s="145">
        <f t="shared" si="21"/>
        <v>5974.6</v>
      </c>
    </row>
    <row r="130" spans="1:22" ht="18.75">
      <c r="A130" s="7" t="s">
        <v>148</v>
      </c>
      <c r="B130" s="89">
        <v>446</v>
      </c>
      <c r="C130" s="42">
        <v>1641.5</v>
      </c>
      <c r="D130" s="42">
        <v>495.7</v>
      </c>
      <c r="E130" s="42">
        <v>537.6</v>
      </c>
      <c r="F130" s="42">
        <v>284.3</v>
      </c>
      <c r="G130" s="42">
        <v>116.5</v>
      </c>
      <c r="H130" s="64"/>
      <c r="I130" s="64"/>
      <c r="J130" s="42">
        <v>34.4</v>
      </c>
      <c r="K130" s="42">
        <v>4173.1000000000004</v>
      </c>
      <c r="L130" s="123">
        <f t="shared" si="25"/>
        <v>7283.1</v>
      </c>
      <c r="M130" s="42">
        <v>16.600000000000001</v>
      </c>
      <c r="N130" s="39">
        <f t="shared" si="19"/>
        <v>938.40000000000009</v>
      </c>
      <c r="O130" s="42">
        <v>34.4</v>
      </c>
      <c r="P130" s="92">
        <f t="shared" si="20"/>
        <v>972.80000000000007</v>
      </c>
      <c r="Q130" s="39">
        <f t="shared" si="23"/>
        <v>16.329999999999998</v>
      </c>
      <c r="R130" s="144">
        <f t="shared" si="24"/>
        <v>2.1811659192825115</v>
      </c>
      <c r="S130" s="128">
        <f t="shared" si="18"/>
        <v>0.79329608938547469</v>
      </c>
      <c r="T130" s="145">
        <f t="shared" si="21"/>
        <v>7299.7000000000007</v>
      </c>
    </row>
    <row r="131" spans="1:22" ht="18.75">
      <c r="A131" s="7" t="s">
        <v>149</v>
      </c>
      <c r="B131" s="89">
        <v>400</v>
      </c>
      <c r="C131" s="42">
        <v>1692.1</v>
      </c>
      <c r="D131" s="42">
        <v>511</v>
      </c>
      <c r="E131" s="42">
        <v>365.5</v>
      </c>
      <c r="F131" s="42">
        <v>207.5</v>
      </c>
      <c r="G131" s="42">
        <v>104.1</v>
      </c>
      <c r="H131" s="64"/>
      <c r="I131" s="64"/>
      <c r="J131" s="42">
        <v>34.4</v>
      </c>
      <c r="K131" s="42">
        <v>3733.8</v>
      </c>
      <c r="L131" s="123">
        <f t="shared" si="25"/>
        <v>6648.4</v>
      </c>
      <c r="M131" s="42">
        <v>19.3</v>
      </c>
      <c r="N131" s="39">
        <f t="shared" si="19"/>
        <v>677.1</v>
      </c>
      <c r="O131" s="42">
        <v>34.4</v>
      </c>
      <c r="P131" s="92">
        <f t="shared" si="20"/>
        <v>711.5</v>
      </c>
      <c r="Q131" s="39">
        <f t="shared" si="23"/>
        <v>16.620999999999999</v>
      </c>
      <c r="R131" s="144">
        <f t="shared" si="24"/>
        <v>1.7787500000000001</v>
      </c>
      <c r="S131" s="128">
        <f t="shared" si="18"/>
        <v>0.80743259655088651</v>
      </c>
      <c r="T131" s="145">
        <f t="shared" si="21"/>
        <v>6667.7</v>
      </c>
    </row>
    <row r="132" spans="1:22" ht="18.75">
      <c r="A132" s="7" t="s">
        <v>150</v>
      </c>
      <c r="B132" s="89">
        <v>448</v>
      </c>
      <c r="C132" s="42">
        <v>1700.5</v>
      </c>
      <c r="D132" s="42">
        <v>513.6</v>
      </c>
      <c r="E132" s="42">
        <v>684.2</v>
      </c>
      <c r="F132" s="42">
        <v>129.30000000000001</v>
      </c>
      <c r="G132" s="42">
        <v>72.5</v>
      </c>
      <c r="H132" s="64"/>
      <c r="I132" s="64"/>
      <c r="J132" s="42">
        <v>34.4</v>
      </c>
      <c r="K132" s="42">
        <v>4055.7</v>
      </c>
      <c r="L132" s="123">
        <f t="shared" si="25"/>
        <v>7190.2</v>
      </c>
      <c r="M132" s="42">
        <v>13.9</v>
      </c>
      <c r="N132" s="39">
        <f t="shared" si="19"/>
        <v>886</v>
      </c>
      <c r="O132" s="42">
        <v>34.4</v>
      </c>
      <c r="P132" s="92">
        <f t="shared" si="20"/>
        <v>920.4</v>
      </c>
      <c r="Q132" s="39">
        <f t="shared" si="23"/>
        <v>16.05</v>
      </c>
      <c r="R132" s="144">
        <f t="shared" si="24"/>
        <v>2.0544642857142859</v>
      </c>
      <c r="S132" s="128">
        <f t="shared" si="18"/>
        <v>0.77969395190672819</v>
      </c>
      <c r="T132" s="145">
        <f t="shared" si="21"/>
        <v>7204.0999999999995</v>
      </c>
    </row>
    <row r="133" spans="1:22" ht="18.75">
      <c r="A133" s="7" t="s">
        <v>151</v>
      </c>
      <c r="B133" s="89">
        <v>366</v>
      </c>
      <c r="C133" s="42">
        <v>1464.6</v>
      </c>
      <c r="D133" s="42">
        <v>442.3</v>
      </c>
      <c r="E133" s="42">
        <v>324.2</v>
      </c>
      <c r="F133" s="42">
        <v>206.7</v>
      </c>
      <c r="G133" s="42">
        <v>55.5</v>
      </c>
      <c r="H133" s="64"/>
      <c r="I133" s="64"/>
      <c r="J133" s="42">
        <v>34.4</v>
      </c>
      <c r="K133" s="42">
        <v>3525.9</v>
      </c>
      <c r="L133" s="123">
        <f t="shared" si="25"/>
        <v>6053.6</v>
      </c>
      <c r="M133" s="42">
        <v>11.7</v>
      </c>
      <c r="N133" s="39">
        <f t="shared" si="19"/>
        <v>586.4</v>
      </c>
      <c r="O133" s="42">
        <v>34.4</v>
      </c>
      <c r="P133" s="92">
        <f t="shared" si="20"/>
        <v>620.79999999999995</v>
      </c>
      <c r="Q133" s="39">
        <f t="shared" si="23"/>
        <v>16.54</v>
      </c>
      <c r="R133" s="144">
        <f t="shared" si="24"/>
        <v>1.6961748633879781</v>
      </c>
      <c r="S133" s="128">
        <f t="shared" si="18"/>
        <v>0.80349769249453473</v>
      </c>
      <c r="T133" s="145">
        <f t="shared" si="21"/>
        <v>6065.3</v>
      </c>
    </row>
    <row r="134" spans="1:22" ht="18.75">
      <c r="A134" s="7" t="s">
        <v>152</v>
      </c>
      <c r="B134" s="89">
        <v>444</v>
      </c>
      <c r="C134" s="42">
        <v>1692.1</v>
      </c>
      <c r="D134" s="42">
        <v>511</v>
      </c>
      <c r="E134" s="42">
        <v>392.3</v>
      </c>
      <c r="F134" s="42">
        <v>262</v>
      </c>
      <c r="G134" s="42">
        <v>65.099999999999994</v>
      </c>
      <c r="H134" s="64"/>
      <c r="I134" s="64"/>
      <c r="J134" s="42">
        <v>34.4</v>
      </c>
      <c r="K134" s="42">
        <v>4149.7</v>
      </c>
      <c r="L134" s="123">
        <f t="shared" si="25"/>
        <v>7106.6</v>
      </c>
      <c r="M134" s="42">
        <v>12</v>
      </c>
      <c r="N134" s="39">
        <f t="shared" si="19"/>
        <v>719.4</v>
      </c>
      <c r="O134" s="42">
        <v>34.4</v>
      </c>
      <c r="P134" s="92">
        <f t="shared" si="20"/>
        <v>753.8</v>
      </c>
      <c r="Q134" s="39">
        <f t="shared" si="23"/>
        <v>16.006</v>
      </c>
      <c r="R134" s="144">
        <f t="shared" si="24"/>
        <v>1.6977477477477476</v>
      </c>
      <c r="S134" s="128">
        <f t="shared" si="18"/>
        <v>0.77755647316006804</v>
      </c>
      <c r="T134" s="145">
        <f t="shared" si="21"/>
        <v>7118.6</v>
      </c>
    </row>
    <row r="135" spans="1:22" ht="18.75">
      <c r="A135" s="7" t="s">
        <v>153</v>
      </c>
      <c r="B135" s="89">
        <v>370</v>
      </c>
      <c r="C135" s="42">
        <v>1388.8</v>
      </c>
      <c r="D135" s="42">
        <v>419.4</v>
      </c>
      <c r="E135" s="42">
        <v>463.7</v>
      </c>
      <c r="F135" s="42">
        <v>97</v>
      </c>
      <c r="G135" s="42">
        <v>62.1</v>
      </c>
      <c r="H135" s="64"/>
      <c r="I135" s="64"/>
      <c r="J135" s="42">
        <v>34.4</v>
      </c>
      <c r="K135" s="42">
        <v>3214.2</v>
      </c>
      <c r="L135" s="123">
        <f t="shared" si="25"/>
        <v>5679.6</v>
      </c>
      <c r="M135" s="42">
        <v>13.8</v>
      </c>
      <c r="N135" s="39">
        <f t="shared" si="19"/>
        <v>622.80000000000007</v>
      </c>
      <c r="O135" s="42">
        <v>34.4</v>
      </c>
      <c r="P135" s="92">
        <f t="shared" si="20"/>
        <v>657.2</v>
      </c>
      <c r="Q135" s="39">
        <f t="shared" si="23"/>
        <v>15.35</v>
      </c>
      <c r="R135" s="144">
        <f t="shared" si="24"/>
        <v>1.7762162162162163</v>
      </c>
      <c r="S135" s="128">
        <f t="shared" si="18"/>
        <v>0.74568860820986149</v>
      </c>
      <c r="T135" s="145">
        <f t="shared" si="21"/>
        <v>5693.4000000000005</v>
      </c>
    </row>
    <row r="136" spans="1:22" ht="18.75">
      <c r="A136" s="7" t="s">
        <v>266</v>
      </c>
      <c r="B136" s="89">
        <v>333</v>
      </c>
      <c r="C136" s="42">
        <v>1439.3</v>
      </c>
      <c r="D136" s="42">
        <v>434.7</v>
      </c>
      <c r="E136" s="42">
        <v>333.90000000000003</v>
      </c>
      <c r="F136" s="42">
        <v>7.2</v>
      </c>
      <c r="G136" s="42">
        <v>55.6</v>
      </c>
      <c r="H136" s="42">
        <v>382.6</v>
      </c>
      <c r="I136" s="64"/>
      <c r="J136" s="42">
        <v>32.299999999999997</v>
      </c>
      <c r="K136" s="42">
        <v>2839.9</v>
      </c>
      <c r="L136" s="123">
        <f t="shared" si="25"/>
        <v>5525.5</v>
      </c>
      <c r="M136" s="42">
        <v>30.4</v>
      </c>
      <c r="N136" s="39">
        <f t="shared" si="19"/>
        <v>779.30000000000007</v>
      </c>
      <c r="O136" s="42">
        <v>32.299999999999997</v>
      </c>
      <c r="P136" s="92">
        <f t="shared" si="20"/>
        <v>811.6</v>
      </c>
      <c r="Q136" s="39">
        <f t="shared" si="23"/>
        <v>16.593</v>
      </c>
      <c r="R136" s="144">
        <f t="shared" si="24"/>
        <v>2.4372372372372375</v>
      </c>
      <c r="S136" s="128">
        <f t="shared" si="18"/>
        <v>0.80607238280301186</v>
      </c>
      <c r="T136" s="145">
        <f t="shared" si="21"/>
        <v>5555.9</v>
      </c>
    </row>
    <row r="137" spans="1:22" ht="18.75">
      <c r="A137" s="122" t="s">
        <v>160</v>
      </c>
      <c r="B137" s="89">
        <v>175</v>
      </c>
      <c r="C137" s="42">
        <v>942.1</v>
      </c>
      <c r="D137" s="42">
        <v>284.5</v>
      </c>
      <c r="E137" s="42">
        <v>263.3</v>
      </c>
      <c r="F137" s="42">
        <v>15</v>
      </c>
      <c r="G137" s="42">
        <v>25.4</v>
      </c>
      <c r="H137" s="69"/>
      <c r="I137" s="69"/>
      <c r="J137" s="42">
        <v>26.6</v>
      </c>
      <c r="K137" s="42">
        <v>1588.3</v>
      </c>
      <c r="L137" s="123">
        <f t="shared" si="25"/>
        <v>3145.2</v>
      </c>
      <c r="M137" s="42">
        <v>11.4</v>
      </c>
      <c r="N137" s="39">
        <f t="shared" si="19"/>
        <v>303.7</v>
      </c>
      <c r="O137" s="42">
        <v>26.6</v>
      </c>
      <c r="P137" s="92">
        <f t="shared" si="20"/>
        <v>330.3</v>
      </c>
      <c r="Q137" s="39">
        <f t="shared" si="23"/>
        <v>17.972999999999999</v>
      </c>
      <c r="R137" s="144">
        <f t="shared" si="24"/>
        <v>1.8874285714285715</v>
      </c>
      <c r="S137" s="128">
        <f t="shared" si="18"/>
        <v>0.87311148894826318</v>
      </c>
      <c r="T137" s="145">
        <f t="shared" si="21"/>
        <v>3156.6</v>
      </c>
      <c r="U137" s="77"/>
      <c r="V137" s="77"/>
    </row>
    <row r="138" spans="1:22" ht="18.75">
      <c r="A138" s="122" t="s">
        <v>158</v>
      </c>
      <c r="B138" s="89">
        <v>103</v>
      </c>
      <c r="C138" s="42">
        <v>790.4</v>
      </c>
      <c r="D138" s="42">
        <v>238.7</v>
      </c>
      <c r="E138" s="42">
        <v>246.9</v>
      </c>
      <c r="F138" s="42">
        <v>22.8</v>
      </c>
      <c r="G138" s="42">
        <v>17.5</v>
      </c>
      <c r="H138" s="69"/>
      <c r="I138" s="69"/>
      <c r="J138" s="42">
        <v>22.4</v>
      </c>
      <c r="K138" s="42">
        <v>991.2</v>
      </c>
      <c r="L138" s="123">
        <f t="shared" si="25"/>
        <v>2329.9</v>
      </c>
      <c r="M138" s="42">
        <v>51.2</v>
      </c>
      <c r="N138" s="39">
        <f t="shared" si="19"/>
        <v>287.2</v>
      </c>
      <c r="O138" s="42">
        <v>22.4</v>
      </c>
      <c r="P138" s="92">
        <f t="shared" si="20"/>
        <v>309.59999999999997</v>
      </c>
      <c r="Q138" s="39">
        <f t="shared" si="23"/>
        <v>22.62</v>
      </c>
      <c r="R138" s="144">
        <f t="shared" si="24"/>
        <v>3.0058252427184464</v>
      </c>
      <c r="S138" s="128">
        <f t="shared" si="18"/>
        <v>1.0988583920330337</v>
      </c>
      <c r="T138" s="145">
        <f t="shared" si="21"/>
        <v>2381.1</v>
      </c>
      <c r="U138" s="77"/>
      <c r="V138" s="77"/>
    </row>
    <row r="139" spans="1:22" ht="18.75">
      <c r="A139" s="122" t="s">
        <v>154</v>
      </c>
      <c r="B139" s="89">
        <v>411</v>
      </c>
      <c r="C139" s="42">
        <v>1203.3</v>
      </c>
      <c r="D139" s="42">
        <v>363.4</v>
      </c>
      <c r="E139" s="42">
        <v>410.7</v>
      </c>
      <c r="F139" s="42">
        <v>225.3</v>
      </c>
      <c r="G139" s="42">
        <v>53.6</v>
      </c>
      <c r="H139" s="69"/>
      <c r="I139" s="69"/>
      <c r="J139" s="42">
        <v>34.4</v>
      </c>
      <c r="K139" s="42">
        <v>3738.2</v>
      </c>
      <c r="L139" s="123">
        <f t="shared" si="25"/>
        <v>6028.9</v>
      </c>
      <c r="M139" s="42">
        <v>24.2</v>
      </c>
      <c r="N139" s="39">
        <f t="shared" si="19"/>
        <v>689.6</v>
      </c>
      <c r="O139" s="42">
        <v>34.4</v>
      </c>
      <c r="P139" s="92">
        <f t="shared" si="20"/>
        <v>724</v>
      </c>
      <c r="Q139" s="39">
        <f t="shared" si="23"/>
        <v>14.669</v>
      </c>
      <c r="R139" s="144">
        <f t="shared" si="24"/>
        <v>1.7615571776155718</v>
      </c>
      <c r="S139" s="128">
        <f t="shared" si="18"/>
        <v>0.71260626669905269</v>
      </c>
      <c r="T139" s="145">
        <f t="shared" si="21"/>
        <v>6053.0999999999995</v>
      </c>
      <c r="U139" s="77"/>
      <c r="V139" s="77"/>
    </row>
    <row r="140" spans="1:22" ht="18.75">
      <c r="A140" s="122" t="s">
        <v>155</v>
      </c>
      <c r="B140" s="89">
        <v>348</v>
      </c>
      <c r="C140" s="42">
        <v>1178.0999999999999</v>
      </c>
      <c r="D140" s="42">
        <v>355.8</v>
      </c>
      <c r="E140" s="42">
        <v>275.10000000000002</v>
      </c>
      <c r="F140" s="42">
        <v>66.599999999999994</v>
      </c>
      <c r="G140" s="42">
        <v>32.9</v>
      </c>
      <c r="H140" s="69"/>
      <c r="I140" s="69"/>
      <c r="J140" s="42">
        <v>30.6</v>
      </c>
      <c r="K140" s="42">
        <v>3470</v>
      </c>
      <c r="L140" s="123">
        <f t="shared" si="25"/>
        <v>5409.1</v>
      </c>
      <c r="M140" s="42">
        <v>21.2</v>
      </c>
      <c r="N140" s="39">
        <f t="shared" si="19"/>
        <v>374.6</v>
      </c>
      <c r="O140" s="42">
        <v>30.6</v>
      </c>
      <c r="P140" s="92">
        <f t="shared" si="20"/>
        <v>405.20000000000005</v>
      </c>
      <c r="Q140" s="39">
        <f t="shared" si="23"/>
        <v>15.542999999999999</v>
      </c>
      <c r="R140" s="144">
        <f t="shared" si="24"/>
        <v>1.1643678160919542</v>
      </c>
      <c r="S140" s="128">
        <f t="shared" si="18"/>
        <v>0.75506436725771187</v>
      </c>
      <c r="T140" s="145">
        <f t="shared" si="21"/>
        <v>5430.3</v>
      </c>
      <c r="U140" s="77"/>
      <c r="V140" s="77"/>
    </row>
    <row r="141" spans="1:22" ht="18.75">
      <c r="A141" s="122" t="s">
        <v>156</v>
      </c>
      <c r="B141" s="89">
        <v>233</v>
      </c>
      <c r="C141" s="42">
        <v>899.9</v>
      </c>
      <c r="D141" s="42">
        <v>271.8</v>
      </c>
      <c r="E141" s="42">
        <v>188.7</v>
      </c>
      <c r="F141" s="42">
        <v>51.2</v>
      </c>
      <c r="G141" s="42">
        <v>19.600000000000001</v>
      </c>
      <c r="H141" s="69"/>
      <c r="I141" s="69"/>
      <c r="J141" s="42">
        <v>26.6</v>
      </c>
      <c r="K141" s="42">
        <v>2077.1999999999998</v>
      </c>
      <c r="L141" s="123">
        <f t="shared" si="25"/>
        <v>3535</v>
      </c>
      <c r="M141" s="42">
        <v>14</v>
      </c>
      <c r="N141" s="39">
        <f t="shared" si="19"/>
        <v>259.5</v>
      </c>
      <c r="O141" s="42">
        <v>26.6</v>
      </c>
      <c r="P141" s="92">
        <f t="shared" si="20"/>
        <v>286.10000000000002</v>
      </c>
      <c r="Q141" s="39">
        <f t="shared" si="23"/>
        <v>15.172000000000001</v>
      </c>
      <c r="R141" s="144">
        <f t="shared" si="24"/>
        <v>1.2278969957081547</v>
      </c>
      <c r="S141" s="128">
        <f t="shared" si="18"/>
        <v>0.73704153509837256</v>
      </c>
      <c r="T141" s="145">
        <f t="shared" si="21"/>
        <v>3549</v>
      </c>
      <c r="U141" s="77"/>
      <c r="V141" s="77"/>
    </row>
    <row r="142" spans="1:22" ht="18.75">
      <c r="A142" s="120">
        <v>186</v>
      </c>
      <c r="B142" s="106">
        <v>348</v>
      </c>
      <c r="C142" s="42">
        <v>1279.2</v>
      </c>
      <c r="D142" s="42">
        <v>386.3</v>
      </c>
      <c r="E142" s="42">
        <v>605.29999999999995</v>
      </c>
      <c r="F142" s="42">
        <v>322.70000000000005</v>
      </c>
      <c r="G142" s="42">
        <v>47.8</v>
      </c>
      <c r="H142" s="70"/>
      <c r="I142" s="70"/>
      <c r="J142" s="42">
        <v>38</v>
      </c>
      <c r="K142" s="42">
        <v>3354</v>
      </c>
      <c r="L142" s="123">
        <f t="shared" si="25"/>
        <v>6033.3</v>
      </c>
      <c r="M142" s="42">
        <v>67</v>
      </c>
      <c r="N142" s="39">
        <f t="shared" si="19"/>
        <v>975.8</v>
      </c>
      <c r="O142" s="42">
        <v>38</v>
      </c>
      <c r="P142" s="92">
        <f t="shared" si="20"/>
        <v>1013.8</v>
      </c>
      <c r="Q142" s="39">
        <f t="shared" si="23"/>
        <v>17.337</v>
      </c>
      <c r="R142" s="144">
        <f t="shared" si="24"/>
        <v>2.9132183908045977</v>
      </c>
      <c r="S142" s="128">
        <f t="shared" si="18"/>
        <v>0.8422152052465387</v>
      </c>
      <c r="T142" s="145">
        <f t="shared" si="21"/>
        <v>6100.3</v>
      </c>
      <c r="U142" s="77"/>
      <c r="V142" s="77"/>
    </row>
    <row r="143" spans="1:22" ht="18.75">
      <c r="A143" s="7" t="s">
        <v>162</v>
      </c>
      <c r="B143" s="89">
        <v>414</v>
      </c>
      <c r="C143" s="42">
        <v>1666.8</v>
      </c>
      <c r="D143" s="42">
        <v>503.4</v>
      </c>
      <c r="E143" s="42">
        <v>526.6</v>
      </c>
      <c r="F143" s="42">
        <v>336.4</v>
      </c>
      <c r="G143" s="42">
        <v>101.1</v>
      </c>
      <c r="H143" s="69"/>
      <c r="I143" s="69"/>
      <c r="J143" s="42">
        <v>34.4</v>
      </c>
      <c r="K143" s="42">
        <v>3741.6</v>
      </c>
      <c r="L143" s="123">
        <f t="shared" si="25"/>
        <v>6910.3</v>
      </c>
      <c r="M143" s="42">
        <v>16.5</v>
      </c>
      <c r="N143" s="39">
        <f t="shared" si="19"/>
        <v>964.1</v>
      </c>
      <c r="O143" s="42">
        <v>34.4</v>
      </c>
      <c r="P143" s="92">
        <f t="shared" si="20"/>
        <v>998.5</v>
      </c>
      <c r="Q143" s="39">
        <f t="shared" si="23"/>
        <v>16.692</v>
      </c>
      <c r="R143" s="144">
        <f t="shared" si="24"/>
        <v>2.4118357487922704</v>
      </c>
      <c r="S143" s="128">
        <f t="shared" si="18"/>
        <v>0.81088170998299736</v>
      </c>
      <c r="T143" s="145">
        <f t="shared" si="21"/>
        <v>6926.8</v>
      </c>
      <c r="U143" s="77"/>
      <c r="V143" s="77"/>
    </row>
    <row r="144" spans="1:22" ht="18.75">
      <c r="A144" s="122" t="s">
        <v>157</v>
      </c>
      <c r="B144" s="89">
        <v>401</v>
      </c>
      <c r="C144" s="42">
        <v>1479.1</v>
      </c>
      <c r="D144" s="42">
        <v>446.7</v>
      </c>
      <c r="E144" s="42">
        <v>900.9</v>
      </c>
      <c r="F144" s="42">
        <v>870.8</v>
      </c>
      <c r="G144" s="42">
        <v>150.5</v>
      </c>
      <c r="H144" s="69"/>
      <c r="I144" s="69"/>
      <c r="J144" s="42">
        <v>44.2</v>
      </c>
      <c r="K144" s="7">
        <v>3427.1</v>
      </c>
      <c r="L144" s="123">
        <f t="shared" si="25"/>
        <v>7319.3</v>
      </c>
      <c r="M144" s="7">
        <v>563.1</v>
      </c>
      <c r="N144" s="39">
        <f t="shared" si="19"/>
        <v>1922.1999999999998</v>
      </c>
      <c r="O144" s="42">
        <v>44.2</v>
      </c>
      <c r="P144" s="92">
        <f t="shared" si="20"/>
        <v>1966.3999999999999</v>
      </c>
      <c r="Q144" s="39">
        <f t="shared" si="23"/>
        <v>18.253</v>
      </c>
      <c r="R144" s="144">
        <f t="shared" si="24"/>
        <v>4.9037406483790518</v>
      </c>
      <c r="S144" s="128">
        <f t="shared" si="18"/>
        <v>0.8867136264270099</v>
      </c>
      <c r="T144" s="145">
        <f>L144+M144</f>
        <v>7882.4000000000005</v>
      </c>
      <c r="U144" s="77"/>
      <c r="V144" s="77"/>
    </row>
    <row r="145" spans="1:72" ht="18.75">
      <c r="A145" s="122" t="s">
        <v>159</v>
      </c>
      <c r="B145" s="89">
        <v>162</v>
      </c>
      <c r="C145" s="42">
        <v>933.6</v>
      </c>
      <c r="D145" s="42">
        <f t="shared" ref="D145" si="26">ROUND(C145*30.2%,1)</f>
        <v>281.89999999999998</v>
      </c>
      <c r="E145" s="42">
        <v>117.9</v>
      </c>
      <c r="F145" s="42">
        <v>29.3</v>
      </c>
      <c r="G145" s="42">
        <v>20.399999999999999</v>
      </c>
      <c r="H145" s="69"/>
      <c r="I145" s="69"/>
      <c r="J145" s="42">
        <v>26.6</v>
      </c>
      <c r="K145" s="7">
        <v>1605.2</v>
      </c>
      <c r="L145" s="123">
        <f t="shared" si="25"/>
        <v>3014.9</v>
      </c>
      <c r="M145" s="42">
        <v>9.6</v>
      </c>
      <c r="N145" s="39">
        <f t="shared" si="19"/>
        <v>167.60000000000002</v>
      </c>
      <c r="O145" s="42">
        <v>26.6</v>
      </c>
      <c r="P145" s="92">
        <f t="shared" si="20"/>
        <v>194.20000000000002</v>
      </c>
      <c r="Q145" s="39">
        <f t="shared" si="23"/>
        <v>18.61</v>
      </c>
      <c r="R145" s="144">
        <f t="shared" si="24"/>
        <v>1.1987654320987655</v>
      </c>
      <c r="S145" s="128">
        <f t="shared" ref="S145:S148" si="27">Q145/20.585</f>
        <v>0.90405635171241183</v>
      </c>
      <c r="T145" s="145">
        <f t="shared" si="21"/>
        <v>3024.5</v>
      </c>
      <c r="U145" s="77"/>
      <c r="V145" s="77"/>
    </row>
    <row r="146" spans="1:72" ht="18.75">
      <c r="A146" s="122" t="s">
        <v>161</v>
      </c>
      <c r="B146" s="89">
        <v>372</v>
      </c>
      <c r="C146" s="42">
        <v>1389.3</v>
      </c>
      <c r="D146" s="42">
        <f>ROUND(C146*30.2%,1)</f>
        <v>419.6</v>
      </c>
      <c r="E146" s="42">
        <v>450</v>
      </c>
      <c r="F146" s="42">
        <v>79.8</v>
      </c>
      <c r="G146" s="42">
        <v>59.6</v>
      </c>
      <c r="H146" s="69"/>
      <c r="I146" s="69"/>
      <c r="J146" s="42">
        <f>35.3-0.5</f>
        <v>34.799999999999997</v>
      </c>
      <c r="K146" s="7">
        <v>3559.5</v>
      </c>
      <c r="L146" s="123">
        <f t="shared" si="25"/>
        <v>5992.6</v>
      </c>
      <c r="M146" s="42">
        <f>46.7-0.5</f>
        <v>46.2</v>
      </c>
      <c r="N146" s="39">
        <f t="shared" ref="N146:N147" si="28">E146+F146+G146+H146+I146</f>
        <v>589.4</v>
      </c>
      <c r="O146" s="42">
        <f>35.3-0.5</f>
        <v>34.799999999999997</v>
      </c>
      <c r="P146" s="92">
        <f t="shared" ref="P146:P148" si="29">N146+O146</f>
        <v>624.19999999999993</v>
      </c>
      <c r="Q146" s="39">
        <f t="shared" si="23"/>
        <v>16.109000000000002</v>
      </c>
      <c r="R146" s="144">
        <f t="shared" si="24"/>
        <v>1.6779569892473116</v>
      </c>
      <c r="S146" s="128">
        <f t="shared" si="27"/>
        <v>0.78256011658974989</v>
      </c>
      <c r="T146" s="145">
        <f t="shared" ref="T146:T147" si="30">L146+M146</f>
        <v>6038.8</v>
      </c>
      <c r="U146" s="77"/>
      <c r="V146" s="77"/>
    </row>
    <row r="147" spans="1:72" ht="18.75">
      <c r="A147" s="122" t="s">
        <v>291</v>
      </c>
      <c r="B147" s="89"/>
      <c r="C147" s="42">
        <f>1001.4-0.5</f>
        <v>1000.9</v>
      </c>
      <c r="D147" s="42">
        <f>ROUND(C147*30.2%,1)-0.9</f>
        <v>301.40000000000003</v>
      </c>
      <c r="E147" s="7"/>
      <c r="F147" s="63"/>
      <c r="G147" s="63"/>
      <c r="H147" s="69"/>
      <c r="I147" s="69"/>
      <c r="J147" s="42">
        <v>0</v>
      </c>
      <c r="K147" s="7">
        <v>0</v>
      </c>
      <c r="L147" s="123">
        <f t="shared" si="25"/>
        <v>1302.3</v>
      </c>
      <c r="M147" s="6">
        <v>0</v>
      </c>
      <c r="N147" s="39">
        <f t="shared" si="28"/>
        <v>0</v>
      </c>
      <c r="O147" s="42">
        <v>0</v>
      </c>
      <c r="P147" s="92">
        <f t="shared" si="29"/>
        <v>0</v>
      </c>
      <c r="Q147" s="39" t="e">
        <f t="shared" si="23"/>
        <v>#DIV/0!</v>
      </c>
      <c r="R147" s="144" t="e">
        <f t="shared" si="24"/>
        <v>#DIV/0!</v>
      </c>
      <c r="S147" s="128" t="e">
        <f t="shared" si="27"/>
        <v>#DIV/0!</v>
      </c>
      <c r="T147" s="145">
        <f t="shared" si="30"/>
        <v>1302.3</v>
      </c>
      <c r="U147" s="77"/>
      <c r="V147" s="77"/>
    </row>
    <row r="148" spans="1:72" s="114" customFormat="1" ht="18.75">
      <c r="A148" s="111" t="s">
        <v>263</v>
      </c>
      <c r="B148" s="112">
        <f t="shared" ref="B148:J148" si="31">SUM(B17:B147)</f>
        <v>30745</v>
      </c>
      <c r="C148" s="112">
        <f t="shared" si="31"/>
        <v>147340.90000000002</v>
      </c>
      <c r="D148" s="112">
        <f t="shared" si="31"/>
        <v>44497.000000000015</v>
      </c>
      <c r="E148" s="112">
        <f t="shared" si="31"/>
        <v>36889.200000000004</v>
      </c>
      <c r="F148" s="112">
        <f t="shared" si="31"/>
        <v>12326.4</v>
      </c>
      <c r="G148" s="112">
        <f t="shared" si="31"/>
        <v>4492.3999999999996</v>
      </c>
      <c r="H148" s="112">
        <f t="shared" si="31"/>
        <v>411.3</v>
      </c>
      <c r="I148" s="112">
        <f t="shared" si="31"/>
        <v>75.599999999999994</v>
      </c>
      <c r="J148" s="112">
        <f t="shared" si="31"/>
        <v>3802.7000000000007</v>
      </c>
      <c r="K148" s="112">
        <f>SUM(K17:K147)</f>
        <v>290418.40000000002</v>
      </c>
      <c r="L148" s="112">
        <f t="shared" ref="L148:N148" si="32">SUM(L17:L147)</f>
        <v>540253.9</v>
      </c>
      <c r="M148" s="112">
        <f t="shared" si="32"/>
        <v>2542.8999999999992</v>
      </c>
      <c r="N148" s="112">
        <f t="shared" si="32"/>
        <v>54194.9</v>
      </c>
      <c r="O148" s="112">
        <f t="shared" ref="O148" si="33">SUM(O17:O147)</f>
        <v>3802.7000000000007</v>
      </c>
      <c r="P148" s="67">
        <f t="shared" si="29"/>
        <v>57997.600000000006</v>
      </c>
      <c r="Q148" s="39">
        <f t="shared" si="23"/>
        <v>17.571999999999999</v>
      </c>
      <c r="R148" s="144">
        <f t="shared" si="24"/>
        <v>1.8864075459424299</v>
      </c>
      <c r="S148" s="128">
        <f t="shared" si="27"/>
        <v>0.85363128491620099</v>
      </c>
      <c r="T148" s="112">
        <f t="shared" ref="T148" si="34">SUM(T17:T147)</f>
        <v>542796.79999999993</v>
      </c>
      <c r="U148" s="80"/>
      <c r="V148" s="80"/>
      <c r="W148" s="87"/>
      <c r="X148" s="87"/>
      <c r="Y148" s="87"/>
      <c r="Z148" s="87"/>
      <c r="AA148" s="87"/>
      <c r="AB148" s="87"/>
      <c r="AC148" s="87"/>
      <c r="AD148" s="87"/>
      <c r="AE148" s="87"/>
      <c r="AF148" s="87"/>
      <c r="AG148" s="87"/>
      <c r="AH148" s="87"/>
      <c r="AI148" s="87"/>
      <c r="AJ148" s="87"/>
      <c r="AK148" s="87"/>
      <c r="AL148" s="87"/>
      <c r="AM148" s="87"/>
      <c r="AN148" s="87"/>
      <c r="AO148" s="87"/>
      <c r="AP148" s="87"/>
      <c r="AQ148" s="87"/>
      <c r="AR148" s="87"/>
      <c r="AS148" s="87"/>
      <c r="AT148" s="87"/>
      <c r="AU148" s="87"/>
      <c r="AV148" s="87"/>
      <c r="AW148" s="87"/>
      <c r="AX148" s="87"/>
      <c r="AY148" s="87"/>
      <c r="AZ148" s="87"/>
      <c r="BA148" s="87"/>
      <c r="BB148" s="87"/>
      <c r="BC148" s="87"/>
      <c r="BD148" s="87"/>
      <c r="BE148" s="87"/>
      <c r="BF148" s="87"/>
      <c r="BG148" s="87"/>
      <c r="BH148" s="87"/>
      <c r="BI148" s="87"/>
      <c r="BJ148" s="87"/>
      <c r="BK148" s="87"/>
      <c r="BL148" s="87"/>
      <c r="BM148" s="87"/>
      <c r="BN148" s="87"/>
      <c r="BO148" s="87"/>
      <c r="BP148" s="87"/>
      <c r="BQ148" s="87"/>
      <c r="BR148" s="87"/>
      <c r="BS148" s="87"/>
      <c r="BT148" s="87"/>
    </row>
    <row r="149" spans="1:72">
      <c r="A149" s="89"/>
      <c r="B149" s="89"/>
      <c r="C149" s="7"/>
      <c r="D149" s="7"/>
      <c r="E149" s="7"/>
      <c r="F149" s="7"/>
      <c r="G149" s="7"/>
      <c r="H149" s="7"/>
      <c r="I149" s="7"/>
      <c r="J149" s="7"/>
      <c r="K149" s="7"/>
      <c r="L149" s="7"/>
      <c r="M149" s="7"/>
      <c r="N149" s="7"/>
      <c r="O149" s="7"/>
      <c r="P149" s="39"/>
    </row>
    <row r="150" spans="1:72">
      <c r="A150" s="6"/>
      <c r="B150" s="115"/>
      <c r="C150" s="7"/>
      <c r="D150" s="7"/>
      <c r="E150" s="7"/>
      <c r="F150" s="7"/>
      <c r="G150" s="7"/>
      <c r="H150" s="7"/>
      <c r="I150" s="7"/>
      <c r="J150" s="7"/>
      <c r="K150" s="7"/>
      <c r="L150" s="7"/>
      <c r="M150" s="7"/>
      <c r="N150" s="7">
        <v>54194.9</v>
      </c>
      <c r="O150" s="7">
        <v>20.585000000000001</v>
      </c>
      <c r="P150" s="39"/>
    </row>
    <row r="151" spans="1:72">
      <c r="C151" s="95"/>
      <c r="D151" s="95"/>
      <c r="E151" s="95"/>
      <c r="F151" s="95"/>
      <c r="G151" s="95"/>
      <c r="H151" s="95"/>
      <c r="I151" s="95"/>
      <c r="J151" s="95"/>
      <c r="K151" s="95"/>
      <c r="P151" s="116"/>
      <c r="S151" s="117"/>
      <c r="T151" s="25">
        <v>542796.80000000005</v>
      </c>
    </row>
    <row r="152" spans="1:72">
      <c r="L152" s="118"/>
      <c r="P152" s="116"/>
      <c r="Q152" s="95"/>
      <c r="T152" s="117">
        <v>533493.4</v>
      </c>
    </row>
    <row r="153" spans="1:72">
      <c r="P153" s="116"/>
      <c r="T153" s="117">
        <f>T151-T152</f>
        <v>9303.4000000000233</v>
      </c>
    </row>
    <row r="154" spans="1:72">
      <c r="P154" s="116"/>
    </row>
    <row r="155" spans="1:72">
      <c r="P155" s="116"/>
    </row>
    <row r="156" spans="1:72">
      <c r="P156" s="116"/>
    </row>
    <row r="157" spans="1:72">
      <c r="C157" s="25">
        <v>139804.69999999998</v>
      </c>
      <c r="D157" s="25">
        <v>42220.999999999978</v>
      </c>
      <c r="E157" s="25">
        <v>60381.999999999978</v>
      </c>
      <c r="F157" s="25">
        <v>45706.80000000001</v>
      </c>
      <c r="G157" s="25">
        <v>15652.900000000007</v>
      </c>
      <c r="H157" s="25">
        <v>403.20000000000005</v>
      </c>
      <c r="I157" s="25">
        <v>71.8</v>
      </c>
      <c r="J157" s="25">
        <v>6493.0999999999967</v>
      </c>
      <c r="K157" s="25">
        <v>217329.30000000002</v>
      </c>
      <c r="L157" s="25">
        <v>528064.80000000016</v>
      </c>
      <c r="M157" s="25">
        <v>5428.6000000000022</v>
      </c>
      <c r="N157" s="25">
        <v>122216.69999999997</v>
      </c>
      <c r="O157" s="25">
        <v>6493.0999999999967</v>
      </c>
      <c r="P157" s="25">
        <v>128709.79999999999</v>
      </c>
    </row>
    <row r="158" spans="1:72">
      <c r="C158" s="95">
        <f>C148-C157</f>
        <v>7536.2000000000407</v>
      </c>
      <c r="D158" s="95">
        <f t="shared" ref="D158:P158" si="35">D148-D157</f>
        <v>2276.0000000000364</v>
      </c>
      <c r="E158" s="95">
        <f t="shared" si="35"/>
        <v>-23492.799999999974</v>
      </c>
      <c r="F158" s="95">
        <f t="shared" si="35"/>
        <v>-33380.400000000009</v>
      </c>
      <c r="G158" s="95">
        <f t="shared" si="35"/>
        <v>-11160.500000000007</v>
      </c>
      <c r="H158" s="95">
        <f t="shared" si="35"/>
        <v>8.0999999999999659</v>
      </c>
      <c r="I158" s="95">
        <f t="shared" si="35"/>
        <v>3.7999999999999972</v>
      </c>
      <c r="J158" s="95">
        <f t="shared" si="35"/>
        <v>-2690.399999999996</v>
      </c>
      <c r="K158" s="95">
        <f t="shared" si="35"/>
        <v>73089.100000000006</v>
      </c>
      <c r="L158" s="95">
        <f t="shared" si="35"/>
        <v>12189.09999999986</v>
      </c>
      <c r="M158" s="95">
        <f t="shared" si="35"/>
        <v>-2885.700000000003</v>
      </c>
      <c r="N158" s="95">
        <f t="shared" si="35"/>
        <v>-68021.799999999959</v>
      </c>
      <c r="O158" s="95">
        <f t="shared" si="35"/>
        <v>-2690.399999999996</v>
      </c>
      <c r="P158" s="95">
        <f t="shared" si="35"/>
        <v>-70712.199999999983</v>
      </c>
    </row>
  </sheetData>
  <mergeCells count="3">
    <mergeCell ref="A1:B1"/>
    <mergeCell ref="A3:P3"/>
    <mergeCell ref="A16:P16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sheetPr>
    <tabColor rgb="FF00B050"/>
  </sheetPr>
  <dimension ref="A1:P141"/>
  <sheetViews>
    <sheetView workbookViewId="0">
      <selection activeCell="I6" sqref="I6"/>
    </sheetView>
  </sheetViews>
  <sheetFormatPr defaultRowHeight="15"/>
  <cols>
    <col min="1" max="1" width="5.28515625" customWidth="1"/>
    <col min="2" max="2" width="56.7109375" customWidth="1"/>
    <col min="3" max="3" width="10.85546875" customWidth="1"/>
    <col min="4" max="4" width="13.7109375" customWidth="1"/>
    <col min="5" max="5" width="15.42578125" customWidth="1"/>
    <col min="6" max="6" width="12.28515625" customWidth="1"/>
    <col min="7" max="8" width="14.42578125" customWidth="1"/>
    <col min="9" max="9" width="10.5703125" customWidth="1"/>
    <col min="10" max="10" width="11" customWidth="1"/>
    <col min="11" max="11" width="14.5703125" customWidth="1"/>
  </cols>
  <sheetData>
    <row r="1" spans="1:16">
      <c r="D1" s="25"/>
      <c r="E1" s="25"/>
      <c r="F1" s="25"/>
      <c r="I1" t="s">
        <v>288</v>
      </c>
      <c r="K1" s="25"/>
    </row>
    <row r="2" spans="1:16" ht="15.75" customHeight="1">
      <c r="B2" s="200" t="s">
        <v>319</v>
      </c>
      <c r="C2" s="200"/>
      <c r="D2" s="200"/>
      <c r="E2" s="200"/>
      <c r="F2" s="200"/>
      <c r="G2" s="200"/>
      <c r="H2" s="200"/>
      <c r="I2" s="200"/>
      <c r="J2" s="200"/>
    </row>
    <row r="3" spans="1:16" ht="13.5" customHeight="1">
      <c r="B3" s="200"/>
      <c r="C3" s="200"/>
      <c r="D3" s="200"/>
      <c r="E3" s="200"/>
      <c r="F3" s="200"/>
      <c r="G3" s="200"/>
      <c r="H3" s="200"/>
      <c r="I3" s="200"/>
      <c r="J3" s="200"/>
    </row>
    <row r="4" spans="1:16" ht="15.75" hidden="1" customHeight="1">
      <c r="B4" s="200"/>
      <c r="C4" s="200"/>
      <c r="D4" s="200"/>
      <c r="E4" s="200"/>
      <c r="F4" s="200"/>
      <c r="G4" s="200"/>
      <c r="H4" s="200"/>
      <c r="I4" s="200"/>
      <c r="J4" s="200"/>
    </row>
    <row r="5" spans="1:16" ht="15.75">
      <c r="B5" s="20"/>
      <c r="C5" s="20"/>
      <c r="D5" s="20"/>
    </row>
    <row r="6" spans="1:16" ht="165">
      <c r="A6" s="38" t="s">
        <v>259</v>
      </c>
      <c r="B6" s="28" t="s">
        <v>323</v>
      </c>
      <c r="C6" s="4" t="s">
        <v>301</v>
      </c>
      <c r="D6" s="4" t="s">
        <v>302</v>
      </c>
      <c r="E6" s="5" t="s">
        <v>303</v>
      </c>
      <c r="F6" s="4" t="s">
        <v>301</v>
      </c>
      <c r="G6" s="4" t="s">
        <v>302</v>
      </c>
      <c r="H6" s="5" t="s">
        <v>320</v>
      </c>
      <c r="I6" s="4" t="s">
        <v>301</v>
      </c>
      <c r="J6" s="4" t="s">
        <v>302</v>
      </c>
      <c r="K6" s="5" t="s">
        <v>321</v>
      </c>
    </row>
    <row r="7" spans="1:16" ht="15.75" thickBot="1">
      <c r="A7" s="21"/>
      <c r="B7" s="2">
        <v>1</v>
      </c>
      <c r="C7" s="61">
        <v>2</v>
      </c>
      <c r="D7" s="61">
        <v>3</v>
      </c>
      <c r="E7" s="33">
        <v>4</v>
      </c>
      <c r="F7" s="33">
        <v>5</v>
      </c>
      <c r="G7" s="61">
        <v>6</v>
      </c>
      <c r="H7" s="33">
        <v>7</v>
      </c>
      <c r="I7" s="33">
        <v>8</v>
      </c>
      <c r="J7" s="61">
        <v>9</v>
      </c>
      <c r="K7" s="33">
        <v>10</v>
      </c>
    </row>
    <row r="8" spans="1:16" ht="15.75" thickBot="1">
      <c r="A8" s="21"/>
      <c r="B8" s="55"/>
      <c r="C8" s="204" t="s">
        <v>62</v>
      </c>
      <c r="D8" s="205"/>
      <c r="E8" s="206"/>
      <c r="F8" s="204" t="s">
        <v>278</v>
      </c>
      <c r="G8" s="205"/>
      <c r="H8" s="206"/>
      <c r="I8" s="204" t="s">
        <v>322</v>
      </c>
      <c r="J8" s="205"/>
      <c r="K8" s="206"/>
    </row>
    <row r="9" spans="1:16" ht="20.25" customHeight="1">
      <c r="A9" s="21"/>
      <c r="B9" s="202" t="s">
        <v>277</v>
      </c>
      <c r="C9" s="203"/>
      <c r="D9" s="203"/>
      <c r="E9" s="203"/>
      <c r="F9" s="203"/>
      <c r="G9" s="203"/>
      <c r="H9" s="203"/>
      <c r="I9" s="203"/>
      <c r="J9" s="203"/>
      <c r="K9" s="203"/>
    </row>
    <row r="10" spans="1:16" ht="47.25">
      <c r="A10" s="21">
        <v>1</v>
      </c>
      <c r="B10" s="14" t="s">
        <v>186</v>
      </c>
      <c r="C10" s="7"/>
      <c r="D10" s="39">
        <v>0.88676220548943407</v>
      </c>
      <c r="E10" s="39">
        <f>C10+D10</f>
        <v>0.88676220548943407</v>
      </c>
      <c r="F10" s="7"/>
      <c r="G10" s="39">
        <v>0.82064610153024042</v>
      </c>
      <c r="H10" s="39">
        <f>G10</f>
        <v>0.82064610153024042</v>
      </c>
      <c r="I10" s="125"/>
      <c r="J10" s="39">
        <v>0.82501821714840906</v>
      </c>
      <c r="K10" s="39">
        <f>J10</f>
        <v>0.82501821714840906</v>
      </c>
      <c r="P10" s="19"/>
    </row>
    <row r="11" spans="1:16" ht="47.25">
      <c r="A11" s="21">
        <v>2</v>
      </c>
      <c r="B11" s="13" t="s">
        <v>164</v>
      </c>
      <c r="C11" s="7"/>
      <c r="D11" s="39">
        <v>1.6359485061938306</v>
      </c>
      <c r="E11" s="39">
        <f t="shared" ref="E11:E74" si="0">C11+D11</f>
        <v>1.6359485061938306</v>
      </c>
      <c r="F11" s="7"/>
      <c r="G11" s="39">
        <v>1.5426281272771434</v>
      </c>
      <c r="H11" s="39">
        <f>G11</f>
        <v>1.5426281272771434</v>
      </c>
      <c r="I11" s="125"/>
      <c r="J11" s="39">
        <v>1.5080398348311876</v>
      </c>
      <c r="K11" s="39">
        <f>J11</f>
        <v>1.5080398348311876</v>
      </c>
      <c r="P11" s="19"/>
    </row>
    <row r="12" spans="1:16" ht="47.25">
      <c r="A12" s="21">
        <v>3</v>
      </c>
      <c r="B12" s="14" t="s">
        <v>187</v>
      </c>
      <c r="C12" s="7"/>
      <c r="D12" s="39">
        <v>0.84653874180228306</v>
      </c>
      <c r="E12" s="39">
        <f t="shared" si="0"/>
        <v>0.84653874180228306</v>
      </c>
      <c r="F12" s="7"/>
      <c r="G12" s="39">
        <v>0.86048093271799853</v>
      </c>
      <c r="H12" s="39">
        <f t="shared" ref="H12:H83" si="1">G12</f>
        <v>0.86048093271799853</v>
      </c>
      <c r="I12" s="125"/>
      <c r="J12" s="39">
        <v>0.88511051736701474</v>
      </c>
      <c r="K12" s="39">
        <f t="shared" ref="K12:K83" si="2">J12</f>
        <v>0.88511051736701474</v>
      </c>
      <c r="P12" s="19"/>
    </row>
    <row r="13" spans="1:16" ht="31.5">
      <c r="A13" s="21">
        <v>4</v>
      </c>
      <c r="B13" s="14" t="s">
        <v>188</v>
      </c>
      <c r="C13" s="7"/>
      <c r="D13" s="39">
        <v>0.71391790138450328</v>
      </c>
      <c r="E13" s="39">
        <f t="shared" si="0"/>
        <v>0.71391790138450328</v>
      </c>
      <c r="F13" s="7"/>
      <c r="G13" s="39">
        <v>0.7435997085256254</v>
      </c>
      <c r="H13" s="39">
        <f t="shared" si="1"/>
        <v>0.7435997085256254</v>
      </c>
      <c r="I13" s="125"/>
      <c r="J13" s="39">
        <v>0.80777264998785525</v>
      </c>
      <c r="K13" s="39">
        <f t="shared" si="2"/>
        <v>0.80777264998785525</v>
      </c>
      <c r="P13" s="19"/>
    </row>
    <row r="14" spans="1:16" ht="47.25">
      <c r="A14" s="21">
        <v>5</v>
      </c>
      <c r="B14" s="14" t="s">
        <v>26</v>
      </c>
      <c r="C14" s="7"/>
      <c r="D14" s="39">
        <v>0.74923487976682046</v>
      </c>
      <c r="E14" s="39">
        <f t="shared" si="0"/>
        <v>0.74923487976682046</v>
      </c>
      <c r="F14" s="7"/>
      <c r="G14" s="39">
        <v>0.75161525382560113</v>
      </c>
      <c r="H14" s="39">
        <f t="shared" si="1"/>
        <v>0.75161525382560113</v>
      </c>
      <c r="I14" s="125"/>
      <c r="J14" s="39">
        <v>0.79441340782122905</v>
      </c>
      <c r="K14" s="39">
        <f t="shared" si="2"/>
        <v>0.79441340782122905</v>
      </c>
      <c r="P14" s="19"/>
    </row>
    <row r="15" spans="1:16" ht="47.25">
      <c r="A15" s="21">
        <v>6</v>
      </c>
      <c r="B15" s="14" t="s">
        <v>27</v>
      </c>
      <c r="C15" s="7"/>
      <c r="D15" s="39">
        <v>0.70415350983726011</v>
      </c>
      <c r="E15" s="39">
        <f t="shared" si="0"/>
        <v>0.70415350983726011</v>
      </c>
      <c r="F15" s="7"/>
      <c r="G15" s="39">
        <v>0.70993441826572745</v>
      </c>
      <c r="H15" s="39">
        <f t="shared" si="1"/>
        <v>0.70993441826572745</v>
      </c>
      <c r="I15" s="125"/>
      <c r="J15" s="39">
        <v>0.76147680349769253</v>
      </c>
      <c r="K15" s="39">
        <f t="shared" si="2"/>
        <v>0.76147680349769253</v>
      </c>
      <c r="P15" s="19"/>
    </row>
    <row r="16" spans="1:16" ht="47.25">
      <c r="A16" s="21">
        <v>7</v>
      </c>
      <c r="B16" s="14" t="s">
        <v>189</v>
      </c>
      <c r="C16" s="7"/>
      <c r="D16" s="39">
        <v>0.76235122662132615</v>
      </c>
      <c r="E16" s="39">
        <f t="shared" si="0"/>
        <v>0.76235122662132615</v>
      </c>
      <c r="F16" s="7"/>
      <c r="G16" s="39">
        <v>0.75943648287588039</v>
      </c>
      <c r="H16" s="39">
        <f t="shared" si="1"/>
        <v>0.75943648287588039</v>
      </c>
      <c r="I16" s="125"/>
      <c r="J16" s="39">
        <v>0.79315035219820262</v>
      </c>
      <c r="K16" s="39">
        <f t="shared" si="2"/>
        <v>0.79315035219820262</v>
      </c>
      <c r="P16" s="19"/>
    </row>
    <row r="17" spans="1:16" ht="47.25">
      <c r="A17" s="21">
        <v>8</v>
      </c>
      <c r="B17" s="14" t="s">
        <v>190</v>
      </c>
      <c r="C17" s="7"/>
      <c r="D17" s="39">
        <v>0.77425309691522959</v>
      </c>
      <c r="E17" s="39">
        <f t="shared" si="0"/>
        <v>0.77425309691522959</v>
      </c>
      <c r="F17" s="7"/>
      <c r="G17" s="39">
        <v>0.77886810784551863</v>
      </c>
      <c r="H17" s="39">
        <f t="shared" si="1"/>
        <v>0.77886810784551863</v>
      </c>
      <c r="I17" s="125"/>
      <c r="J17" s="39">
        <v>0.81724556716055374</v>
      </c>
      <c r="K17" s="39">
        <f t="shared" si="2"/>
        <v>0.81724556716055374</v>
      </c>
      <c r="P17" s="19"/>
    </row>
    <row r="18" spans="1:16" ht="31.5">
      <c r="A18" s="21">
        <v>9</v>
      </c>
      <c r="B18" s="14" t="s">
        <v>34</v>
      </c>
      <c r="C18" s="7"/>
      <c r="D18" s="39">
        <v>0.73806169540927857</v>
      </c>
      <c r="E18" s="39">
        <f t="shared" si="0"/>
        <v>0.73806169540927857</v>
      </c>
      <c r="F18" s="7"/>
      <c r="G18" s="39">
        <v>0.74044206946805924</v>
      </c>
      <c r="H18" s="39">
        <f t="shared" si="1"/>
        <v>0.74044206946805924</v>
      </c>
      <c r="I18" s="125"/>
      <c r="J18" s="39">
        <v>0.77260140879281025</v>
      </c>
      <c r="K18" s="39">
        <f t="shared" si="2"/>
        <v>0.77260140879281025</v>
      </c>
      <c r="P18" s="19"/>
    </row>
    <row r="19" spans="1:16" ht="47.25">
      <c r="A19" s="21">
        <v>10</v>
      </c>
      <c r="B19" s="13" t="s">
        <v>165</v>
      </c>
      <c r="C19" s="7"/>
      <c r="D19" s="39">
        <v>1.2921059023560844</v>
      </c>
      <c r="E19" s="39">
        <f t="shared" si="0"/>
        <v>1.2921059023560844</v>
      </c>
      <c r="F19" s="7"/>
      <c r="G19" s="39">
        <v>1.1996599465630313</v>
      </c>
      <c r="H19" s="39">
        <f t="shared" si="1"/>
        <v>1.1996599465630313</v>
      </c>
      <c r="I19" s="125"/>
      <c r="J19" s="39">
        <v>1.1662861306776777</v>
      </c>
      <c r="K19" s="39">
        <f t="shared" si="2"/>
        <v>1.1662861306776777</v>
      </c>
      <c r="P19" s="19"/>
    </row>
    <row r="20" spans="1:16" ht="31.5">
      <c r="A20" s="21">
        <v>11</v>
      </c>
      <c r="B20" s="13" t="s">
        <v>244</v>
      </c>
      <c r="C20" s="7"/>
      <c r="D20" s="39">
        <v>0.83449113432110755</v>
      </c>
      <c r="E20" s="39">
        <f t="shared" si="0"/>
        <v>0.83449113432110755</v>
      </c>
      <c r="F20" s="7"/>
      <c r="G20" s="39">
        <v>0.80296332280786975</v>
      </c>
      <c r="H20" s="39">
        <f t="shared" si="1"/>
        <v>0.80296332280786975</v>
      </c>
      <c r="I20" s="125"/>
      <c r="J20" s="39">
        <v>0.82040320621812002</v>
      </c>
      <c r="K20" s="39">
        <f t="shared" si="2"/>
        <v>0.82040320621812002</v>
      </c>
      <c r="P20" s="19"/>
    </row>
    <row r="21" spans="1:16" ht="31.5">
      <c r="A21" s="21">
        <v>12</v>
      </c>
      <c r="B21" s="13" t="s">
        <v>251</v>
      </c>
      <c r="C21" s="7"/>
      <c r="D21" s="39">
        <v>0.79489919844546997</v>
      </c>
      <c r="E21" s="39">
        <f t="shared" si="0"/>
        <v>0.79489919844546997</v>
      </c>
      <c r="F21" s="7"/>
      <c r="G21" s="39">
        <v>0.78994413407821218</v>
      </c>
      <c r="H21" s="39">
        <f t="shared" si="1"/>
        <v>0.78994413407821218</v>
      </c>
      <c r="I21" s="125"/>
      <c r="J21" s="39">
        <v>0.81175613310663108</v>
      </c>
      <c r="K21" s="39">
        <f t="shared" si="2"/>
        <v>0.81175613310663108</v>
      </c>
      <c r="P21" s="19"/>
    </row>
    <row r="22" spans="1:16" ht="47.25">
      <c r="A22" s="21">
        <v>13</v>
      </c>
      <c r="B22" s="13" t="s">
        <v>173</v>
      </c>
      <c r="C22" s="7"/>
      <c r="D22" s="39">
        <v>1.4571289774107359</v>
      </c>
      <c r="E22" s="39">
        <f t="shared" si="0"/>
        <v>1.4571289774107359</v>
      </c>
      <c r="F22" s="7"/>
      <c r="G22" s="39">
        <v>1.3427738644644156</v>
      </c>
      <c r="H22" s="39">
        <f t="shared" si="1"/>
        <v>1.3427738644644156</v>
      </c>
      <c r="I22" s="125"/>
      <c r="J22" s="39">
        <v>1.3074083070196745</v>
      </c>
      <c r="K22" s="39">
        <f t="shared" si="2"/>
        <v>1.3074083070196745</v>
      </c>
      <c r="P22" s="19"/>
    </row>
    <row r="23" spans="1:16" ht="47.25">
      <c r="A23" s="21">
        <v>14</v>
      </c>
      <c r="B23" s="13" t="s">
        <v>247</v>
      </c>
      <c r="C23" s="7"/>
      <c r="D23" s="39">
        <v>0.78411464658732077</v>
      </c>
      <c r="E23" s="39">
        <f t="shared" si="0"/>
        <v>0.78411464658732077</v>
      </c>
      <c r="F23" s="7"/>
      <c r="G23" s="39">
        <v>0.767354870051008</v>
      </c>
      <c r="H23" s="39">
        <f t="shared" si="1"/>
        <v>0.767354870051008</v>
      </c>
      <c r="I23" s="125"/>
      <c r="J23" s="39">
        <v>0.78712654845761476</v>
      </c>
      <c r="K23" s="39">
        <f t="shared" si="2"/>
        <v>0.78712654845761476</v>
      </c>
      <c r="P23" s="19"/>
    </row>
    <row r="24" spans="1:16" ht="31.5">
      <c r="A24" s="21">
        <v>15</v>
      </c>
      <c r="B24" s="13" t="s">
        <v>171</v>
      </c>
      <c r="C24" s="7"/>
      <c r="D24" s="39">
        <v>1.4633956764634442</v>
      </c>
      <c r="E24" s="39">
        <f t="shared" si="0"/>
        <v>1.4633956764634442</v>
      </c>
      <c r="F24" s="7"/>
      <c r="G24" s="39">
        <v>1.3701724556716055</v>
      </c>
      <c r="H24" s="39">
        <f t="shared" si="1"/>
        <v>1.3701724556716055</v>
      </c>
      <c r="I24" s="125"/>
      <c r="J24" s="39">
        <v>1.3381102744717028</v>
      </c>
      <c r="K24" s="39">
        <f t="shared" si="2"/>
        <v>1.3381102744717028</v>
      </c>
      <c r="P24" s="19"/>
    </row>
    <row r="25" spans="1:16" ht="47.25">
      <c r="A25" s="21">
        <v>16</v>
      </c>
      <c r="B25" s="14" t="s">
        <v>192</v>
      </c>
      <c r="C25" s="7"/>
      <c r="D25" s="39">
        <v>0.86329851833859605</v>
      </c>
      <c r="E25" s="39">
        <f t="shared" si="0"/>
        <v>0.86329851833859605</v>
      </c>
      <c r="F25" s="7"/>
      <c r="G25" s="39">
        <v>0.8298761233908184</v>
      </c>
      <c r="H25" s="39">
        <f t="shared" si="1"/>
        <v>0.8298761233908184</v>
      </c>
      <c r="I25" s="125"/>
      <c r="J25" s="39">
        <v>0.84440126305562302</v>
      </c>
      <c r="K25" s="39">
        <f t="shared" si="2"/>
        <v>0.84440126305562302</v>
      </c>
      <c r="P25" s="19"/>
    </row>
    <row r="26" spans="1:16" ht="31.5">
      <c r="A26" s="21">
        <v>17</v>
      </c>
      <c r="B26" s="14" t="s">
        <v>193</v>
      </c>
      <c r="C26" s="7"/>
      <c r="D26" s="39">
        <v>0.82676706339567629</v>
      </c>
      <c r="E26" s="39">
        <f t="shared" si="0"/>
        <v>0.82676706339567629</v>
      </c>
      <c r="F26" s="7"/>
      <c r="G26" s="39">
        <v>0.80165168812241916</v>
      </c>
      <c r="H26" s="39">
        <f t="shared" si="1"/>
        <v>0.80165168812241916</v>
      </c>
      <c r="I26" s="125"/>
      <c r="J26" s="39">
        <v>0.80684964780179746</v>
      </c>
      <c r="K26" s="39">
        <f t="shared" si="2"/>
        <v>0.80684964780179746</v>
      </c>
      <c r="P26" s="19"/>
    </row>
    <row r="27" spans="1:16" ht="47.25">
      <c r="A27" s="21">
        <v>18</v>
      </c>
      <c r="B27" s="13" t="s">
        <v>181</v>
      </c>
      <c r="C27" s="7"/>
      <c r="D27" s="39">
        <v>0.79931989312606266</v>
      </c>
      <c r="E27" s="39">
        <f t="shared" si="0"/>
        <v>0.79931989312606266</v>
      </c>
      <c r="F27" s="7"/>
      <c r="G27" s="39">
        <v>0.78664075783337384</v>
      </c>
      <c r="H27" s="39">
        <f t="shared" si="1"/>
        <v>0.78664075783337384</v>
      </c>
      <c r="I27" s="125"/>
      <c r="J27" s="39">
        <v>0.80412922030604805</v>
      </c>
      <c r="K27" s="39">
        <f t="shared" si="2"/>
        <v>0.80412922030604805</v>
      </c>
      <c r="P27" s="19"/>
    </row>
    <row r="28" spans="1:16" ht="47.25">
      <c r="A28" s="21">
        <v>19</v>
      </c>
      <c r="B28" s="14" t="s">
        <v>194</v>
      </c>
      <c r="C28" s="7"/>
      <c r="D28" s="39">
        <v>0.72781151323779447</v>
      </c>
      <c r="E28" s="39">
        <f t="shared" si="0"/>
        <v>0.72781151323779447</v>
      </c>
      <c r="F28" s="7"/>
      <c r="G28" s="39">
        <v>0.70327908671362638</v>
      </c>
      <c r="H28" s="39">
        <f t="shared" si="1"/>
        <v>0.70327908671362638</v>
      </c>
      <c r="I28" s="125"/>
      <c r="J28" s="39">
        <v>0.73237794510565946</v>
      </c>
      <c r="K28" s="39">
        <f t="shared" si="2"/>
        <v>0.73237794510565946</v>
      </c>
      <c r="P28" s="19"/>
    </row>
    <row r="29" spans="1:16" ht="47.25">
      <c r="A29" s="21">
        <v>20</v>
      </c>
      <c r="B29" s="14" t="s">
        <v>195</v>
      </c>
      <c r="C29" s="7"/>
      <c r="D29" s="39">
        <v>0.82054894340539219</v>
      </c>
      <c r="E29" s="39">
        <f t="shared" si="0"/>
        <v>0.82054894340539219</v>
      </c>
      <c r="F29" s="7"/>
      <c r="G29" s="39">
        <v>0.79319893126062657</v>
      </c>
      <c r="H29" s="39">
        <f t="shared" si="1"/>
        <v>0.79319893126062657</v>
      </c>
      <c r="I29" s="125"/>
      <c r="J29" s="39">
        <v>0.79883410250182163</v>
      </c>
      <c r="K29" s="39">
        <f t="shared" si="2"/>
        <v>0.79883410250182163</v>
      </c>
      <c r="P29" s="19"/>
    </row>
    <row r="30" spans="1:16" ht="31.5">
      <c r="A30" s="21">
        <v>21</v>
      </c>
      <c r="B30" s="14" t="s">
        <v>196</v>
      </c>
      <c r="C30" s="7"/>
      <c r="D30" s="39">
        <v>0.8384746174398835</v>
      </c>
      <c r="E30" s="39">
        <f t="shared" si="0"/>
        <v>0.8384746174398835</v>
      </c>
      <c r="F30" s="7"/>
      <c r="G30" s="39">
        <v>0.81136750060723828</v>
      </c>
      <c r="H30" s="39">
        <f t="shared" si="1"/>
        <v>0.81136750060723828</v>
      </c>
      <c r="I30" s="125"/>
      <c r="J30" s="39">
        <v>0.81943162496963795</v>
      </c>
      <c r="K30" s="39">
        <f t="shared" si="2"/>
        <v>0.81943162496963795</v>
      </c>
      <c r="P30" s="19"/>
    </row>
    <row r="31" spans="1:16" ht="47.25">
      <c r="A31" s="21">
        <v>22</v>
      </c>
      <c r="B31" s="13" t="s">
        <v>168</v>
      </c>
      <c r="C31" s="7"/>
      <c r="D31" s="39">
        <v>1.3387903813456401</v>
      </c>
      <c r="E31" s="39">
        <f t="shared" si="0"/>
        <v>1.3387903813456401</v>
      </c>
      <c r="F31" s="7"/>
      <c r="G31" s="39">
        <v>1.2392518824386689</v>
      </c>
      <c r="H31" s="39">
        <f t="shared" si="1"/>
        <v>1.2392518824386689</v>
      </c>
      <c r="I31" s="125"/>
      <c r="J31" s="39">
        <v>1.1940247753218363</v>
      </c>
      <c r="K31" s="39">
        <f t="shared" si="2"/>
        <v>1.1940247753218363</v>
      </c>
      <c r="P31" s="19"/>
    </row>
    <row r="32" spans="1:16" ht="47.25">
      <c r="A32" s="21">
        <v>23</v>
      </c>
      <c r="B32" s="14" t="s">
        <v>28</v>
      </c>
      <c r="C32" s="7"/>
      <c r="D32" s="39">
        <v>0.8292445955793053</v>
      </c>
      <c r="E32" s="39">
        <f t="shared" si="0"/>
        <v>0.8292445955793053</v>
      </c>
      <c r="F32" s="7"/>
      <c r="G32" s="39">
        <v>0.80315763905756621</v>
      </c>
      <c r="H32" s="39">
        <f t="shared" si="1"/>
        <v>0.80315763905756621</v>
      </c>
      <c r="I32" s="125"/>
      <c r="J32" s="39">
        <v>0.7995142093757589</v>
      </c>
      <c r="K32" s="39">
        <f t="shared" si="2"/>
        <v>0.7995142093757589</v>
      </c>
      <c r="P32" s="19"/>
    </row>
    <row r="33" spans="1:16" ht="31.5">
      <c r="A33" s="21">
        <v>24</v>
      </c>
      <c r="B33" s="14" t="s">
        <v>197</v>
      </c>
      <c r="C33" s="7"/>
      <c r="D33" s="39">
        <v>0.85955793053194063</v>
      </c>
      <c r="E33" s="39">
        <f t="shared" si="0"/>
        <v>0.85955793053194063</v>
      </c>
      <c r="F33" s="7"/>
      <c r="G33" s="39">
        <v>0.81729414622297791</v>
      </c>
      <c r="H33" s="39">
        <f t="shared" si="1"/>
        <v>0.81729414622297791</v>
      </c>
      <c r="I33" s="125"/>
      <c r="J33" s="39">
        <v>0.82433811027447168</v>
      </c>
      <c r="K33" s="39">
        <f t="shared" si="2"/>
        <v>0.82433811027447168</v>
      </c>
      <c r="P33" s="19"/>
    </row>
    <row r="34" spans="1:16" ht="47.25">
      <c r="A34" s="21">
        <v>25</v>
      </c>
      <c r="B34" s="14" t="s">
        <v>198</v>
      </c>
      <c r="C34" s="7"/>
      <c r="D34" s="39">
        <v>0.74860335195530725</v>
      </c>
      <c r="E34" s="39">
        <f t="shared" si="0"/>
        <v>0.74860335195530725</v>
      </c>
      <c r="F34" s="7"/>
      <c r="G34" s="39">
        <v>0.74000485790624237</v>
      </c>
      <c r="H34" s="39">
        <f t="shared" si="1"/>
        <v>0.74000485790624237</v>
      </c>
      <c r="I34" s="125"/>
      <c r="J34" s="39">
        <v>0.77381588535341261</v>
      </c>
      <c r="K34" s="39">
        <f t="shared" si="2"/>
        <v>0.77381588535341261</v>
      </c>
      <c r="P34" s="19"/>
    </row>
    <row r="35" spans="1:16" ht="31.5">
      <c r="A35" s="21">
        <v>26</v>
      </c>
      <c r="B35" s="13" t="s">
        <v>182</v>
      </c>
      <c r="C35" s="7"/>
      <c r="D35" s="39">
        <v>0.84911343211076018</v>
      </c>
      <c r="E35" s="39">
        <f t="shared" si="0"/>
        <v>0.84911343211076018</v>
      </c>
      <c r="F35" s="7"/>
      <c r="G35" s="39">
        <v>0.83279086713626427</v>
      </c>
      <c r="H35" s="39">
        <f t="shared" si="1"/>
        <v>0.83279086713626427</v>
      </c>
      <c r="I35" s="125"/>
      <c r="J35" s="39">
        <v>0.8580519795967938</v>
      </c>
      <c r="K35" s="39">
        <f t="shared" si="2"/>
        <v>0.8580519795967938</v>
      </c>
      <c r="P35" s="19"/>
    </row>
    <row r="36" spans="1:16" ht="47.25">
      <c r="A36" s="21">
        <v>27</v>
      </c>
      <c r="B36" s="14" t="s">
        <v>199</v>
      </c>
      <c r="C36" s="7"/>
      <c r="D36" s="39">
        <v>0.75404420694680596</v>
      </c>
      <c r="E36" s="39">
        <f t="shared" si="0"/>
        <v>0.75404420694680596</v>
      </c>
      <c r="F36" s="7"/>
      <c r="G36" s="39">
        <v>0.75078940976439157</v>
      </c>
      <c r="H36" s="39">
        <f t="shared" si="1"/>
        <v>0.75078940976439157</v>
      </c>
      <c r="I36" s="125"/>
      <c r="J36" s="39">
        <v>0.77925674034491133</v>
      </c>
      <c r="K36" s="39">
        <f t="shared" si="2"/>
        <v>0.77925674034491133</v>
      </c>
      <c r="P36" s="19"/>
    </row>
    <row r="37" spans="1:16" ht="47.25">
      <c r="A37" s="21">
        <v>28</v>
      </c>
      <c r="B37" s="14" t="s">
        <v>29</v>
      </c>
      <c r="C37" s="7"/>
      <c r="D37" s="39">
        <v>0.8742773864464416</v>
      </c>
      <c r="E37" s="39">
        <f t="shared" si="0"/>
        <v>0.8742773864464416</v>
      </c>
      <c r="F37" s="7"/>
      <c r="G37" s="39">
        <v>0.83536555744474139</v>
      </c>
      <c r="H37" s="39">
        <f t="shared" si="1"/>
        <v>0.83536555744474139</v>
      </c>
      <c r="I37" s="125"/>
      <c r="J37" s="39">
        <v>0.84119504493563269</v>
      </c>
      <c r="K37" s="39">
        <f t="shared" si="2"/>
        <v>0.84119504493563269</v>
      </c>
      <c r="P37" s="19"/>
    </row>
    <row r="38" spans="1:16" ht="47.25">
      <c r="A38" s="21">
        <v>29</v>
      </c>
      <c r="B38" s="13" t="s">
        <v>176</v>
      </c>
      <c r="C38" s="7"/>
      <c r="D38" s="39">
        <v>0.84760748117561324</v>
      </c>
      <c r="E38" s="39">
        <f t="shared" si="0"/>
        <v>0.84760748117561324</v>
      </c>
      <c r="F38" s="7"/>
      <c r="G38" s="39">
        <v>0.82550400777264987</v>
      </c>
      <c r="H38" s="39">
        <f t="shared" si="1"/>
        <v>0.82550400777264987</v>
      </c>
      <c r="I38" s="125"/>
      <c r="J38" s="39">
        <v>0.83784308962837017</v>
      </c>
      <c r="K38" s="39">
        <f t="shared" si="2"/>
        <v>0.83784308962837017</v>
      </c>
      <c r="P38" s="19"/>
    </row>
    <row r="39" spans="1:16" ht="31.5">
      <c r="A39" s="21">
        <v>30</v>
      </c>
      <c r="B39" s="14" t="s">
        <v>200</v>
      </c>
      <c r="C39" s="7"/>
      <c r="D39" s="39">
        <v>0.71994170512509104</v>
      </c>
      <c r="E39" s="39">
        <f t="shared" si="0"/>
        <v>0.71994170512509104</v>
      </c>
      <c r="F39" s="7"/>
      <c r="G39" s="39">
        <v>0.72820014573718728</v>
      </c>
      <c r="H39" s="39">
        <f t="shared" si="1"/>
        <v>0.72820014573718728</v>
      </c>
      <c r="I39" s="125"/>
      <c r="J39" s="39">
        <v>0.75895069225163947</v>
      </c>
      <c r="K39" s="39">
        <f t="shared" si="2"/>
        <v>0.75895069225163947</v>
      </c>
      <c r="P39" s="19"/>
    </row>
    <row r="40" spans="1:16" ht="47.25">
      <c r="A40" s="21">
        <v>31</v>
      </c>
      <c r="B40" s="14" t="s">
        <v>201</v>
      </c>
      <c r="C40" s="7"/>
      <c r="D40" s="39">
        <v>0.80830701967452023</v>
      </c>
      <c r="E40" s="39">
        <f t="shared" si="0"/>
        <v>0.80830701967452023</v>
      </c>
      <c r="F40" s="7"/>
      <c r="G40" s="39">
        <v>0.80534369686665042</v>
      </c>
      <c r="H40" s="39">
        <f t="shared" si="1"/>
        <v>0.80534369686665042</v>
      </c>
      <c r="I40" s="125"/>
      <c r="J40" s="39">
        <v>0.83123633713869327</v>
      </c>
      <c r="K40" s="39">
        <f t="shared" si="2"/>
        <v>0.83123633713869327</v>
      </c>
      <c r="P40" s="19"/>
    </row>
    <row r="41" spans="1:16" ht="47.25">
      <c r="A41" s="21">
        <v>32</v>
      </c>
      <c r="B41" s="14" t="s">
        <v>202</v>
      </c>
      <c r="C41" s="7"/>
      <c r="D41" s="39">
        <v>0.87247996113675008</v>
      </c>
      <c r="E41" s="39">
        <f t="shared" si="0"/>
        <v>0.87247996113675008</v>
      </c>
      <c r="F41" s="7"/>
      <c r="G41" s="39">
        <v>0.84629584649016265</v>
      </c>
      <c r="H41" s="39">
        <f t="shared" si="1"/>
        <v>0.84629584649016265</v>
      </c>
      <c r="I41" s="125"/>
      <c r="J41" s="39">
        <v>0.8431382074325966</v>
      </c>
      <c r="K41" s="39">
        <f t="shared" si="2"/>
        <v>0.8431382074325966</v>
      </c>
      <c r="P41" s="19"/>
    </row>
    <row r="42" spans="1:16" ht="47.25">
      <c r="A42" s="21">
        <v>33</v>
      </c>
      <c r="B42" s="14" t="s">
        <v>30</v>
      </c>
      <c r="C42" s="7"/>
      <c r="D42" s="39">
        <v>0.83419965994656298</v>
      </c>
      <c r="E42" s="39">
        <f t="shared" si="0"/>
        <v>0.83419965994656298</v>
      </c>
      <c r="F42" s="7"/>
      <c r="G42" s="39">
        <v>0.81180471216905503</v>
      </c>
      <c r="H42" s="39">
        <f t="shared" si="1"/>
        <v>0.81180471216905503</v>
      </c>
      <c r="I42" s="125"/>
      <c r="J42" s="39">
        <v>0.82346368715083795</v>
      </c>
      <c r="K42" s="39">
        <f t="shared" si="2"/>
        <v>0.82346368715083795</v>
      </c>
      <c r="P42" s="19"/>
    </row>
    <row r="43" spans="1:16" ht="31.5">
      <c r="A43" s="21">
        <v>34</v>
      </c>
      <c r="B43" s="13" t="s">
        <v>250</v>
      </c>
      <c r="C43" s="7"/>
      <c r="D43" s="39">
        <v>1.4325965508865677</v>
      </c>
      <c r="E43" s="39">
        <f t="shared" si="0"/>
        <v>1.4325965508865677</v>
      </c>
      <c r="F43" s="7"/>
      <c r="G43" s="39">
        <v>1.3454457128977411</v>
      </c>
      <c r="H43" s="39">
        <f t="shared" si="1"/>
        <v>1.3454457128977411</v>
      </c>
      <c r="I43" s="125"/>
      <c r="J43" s="39">
        <v>1.3545299975710468</v>
      </c>
      <c r="K43" s="39">
        <f t="shared" si="2"/>
        <v>1.3545299975710468</v>
      </c>
      <c r="P43" s="19"/>
    </row>
    <row r="44" spans="1:16" ht="47.25">
      <c r="A44" s="21">
        <v>35</v>
      </c>
      <c r="B44" s="14" t="s">
        <v>31</v>
      </c>
      <c r="C44" s="7"/>
      <c r="D44" s="39">
        <v>1.0208889968423609</v>
      </c>
      <c r="E44" s="39">
        <f t="shared" si="0"/>
        <v>1.0208889968423609</v>
      </c>
      <c r="F44" s="7"/>
      <c r="G44" s="39">
        <v>0.93189215448141849</v>
      </c>
      <c r="H44" s="39">
        <f t="shared" si="1"/>
        <v>0.93189215448141849</v>
      </c>
      <c r="I44" s="125"/>
      <c r="J44" s="39">
        <v>0.89842118047121688</v>
      </c>
      <c r="K44" s="39">
        <f t="shared" si="2"/>
        <v>0.89842118047121688</v>
      </c>
      <c r="P44" s="19"/>
    </row>
    <row r="45" spans="1:16" ht="31.5">
      <c r="A45" s="21">
        <v>36</v>
      </c>
      <c r="B45" s="13" t="s">
        <v>177</v>
      </c>
      <c r="C45" s="7"/>
      <c r="D45" s="39">
        <v>0.74772892883167352</v>
      </c>
      <c r="E45" s="39">
        <f t="shared" si="0"/>
        <v>0.74772892883167352</v>
      </c>
      <c r="F45" s="7"/>
      <c r="G45" s="39">
        <v>0.72717998542628126</v>
      </c>
      <c r="H45" s="39">
        <f t="shared" si="1"/>
        <v>0.72717998542628126</v>
      </c>
      <c r="I45" s="125"/>
      <c r="J45" s="39">
        <v>0.75326694194802035</v>
      </c>
      <c r="K45" s="39">
        <f t="shared" si="2"/>
        <v>0.75326694194802035</v>
      </c>
      <c r="P45" s="19"/>
    </row>
    <row r="46" spans="1:16" ht="47.25">
      <c r="A46" s="21">
        <v>37</v>
      </c>
      <c r="B46" s="14" t="s">
        <v>204</v>
      </c>
      <c r="C46" s="7"/>
      <c r="D46" s="39">
        <v>0.81569103716298275</v>
      </c>
      <c r="E46" s="39">
        <f t="shared" si="0"/>
        <v>0.81569103716298275</v>
      </c>
      <c r="F46" s="7"/>
      <c r="G46" s="39">
        <v>0.8004372115618168</v>
      </c>
      <c r="H46" s="39">
        <f t="shared" si="1"/>
        <v>0.8004372115618168</v>
      </c>
      <c r="I46" s="125"/>
      <c r="J46" s="39">
        <v>0.81005586592178769</v>
      </c>
      <c r="K46" s="39">
        <f t="shared" si="2"/>
        <v>0.81005586592178769</v>
      </c>
      <c r="P46" s="19"/>
    </row>
    <row r="47" spans="1:16" ht="31.5">
      <c r="A47" s="21">
        <v>38</v>
      </c>
      <c r="B47" s="14" t="s">
        <v>205</v>
      </c>
      <c r="C47" s="7"/>
      <c r="D47" s="39">
        <v>0.79621083313092056</v>
      </c>
      <c r="E47" s="39">
        <f t="shared" si="0"/>
        <v>0.79621083313092056</v>
      </c>
      <c r="F47" s="7"/>
      <c r="G47" s="39">
        <v>0.7555501578819529</v>
      </c>
      <c r="H47" s="39">
        <f t="shared" si="1"/>
        <v>0.7555501578819529</v>
      </c>
      <c r="I47" s="125"/>
      <c r="J47" s="39">
        <v>0.76283701724556707</v>
      </c>
      <c r="K47" s="39">
        <f t="shared" si="2"/>
        <v>0.76283701724556707</v>
      </c>
      <c r="P47" s="19"/>
    </row>
    <row r="48" spans="1:16" ht="47.25">
      <c r="A48" s="21">
        <v>39</v>
      </c>
      <c r="B48" s="13" t="s">
        <v>249</v>
      </c>
      <c r="C48" s="7"/>
      <c r="D48" s="39">
        <v>0.67384017488462467</v>
      </c>
      <c r="E48" s="39">
        <f t="shared" si="0"/>
        <v>0.67384017488462467</v>
      </c>
      <c r="F48" s="7"/>
      <c r="G48" s="39">
        <v>0.68841389361185323</v>
      </c>
      <c r="H48" s="39">
        <f t="shared" si="1"/>
        <v>0.68841389361185323</v>
      </c>
      <c r="I48" s="125"/>
      <c r="J48" s="39">
        <v>0.73174641729414625</v>
      </c>
      <c r="K48" s="39">
        <f t="shared" si="2"/>
        <v>0.73174641729414625</v>
      </c>
      <c r="P48" s="19"/>
    </row>
    <row r="49" spans="1:16" ht="47.25">
      <c r="A49" s="21">
        <v>40</v>
      </c>
      <c r="B49" s="14" t="s">
        <v>32</v>
      </c>
      <c r="C49" s="7"/>
      <c r="D49" s="39">
        <v>0.67811513237794507</v>
      </c>
      <c r="E49" s="39">
        <f t="shared" si="0"/>
        <v>0.67811513237794507</v>
      </c>
      <c r="F49" s="7"/>
      <c r="G49" s="39">
        <v>0.70352198202574689</v>
      </c>
      <c r="H49" s="39">
        <f t="shared" si="1"/>
        <v>0.70352198202574689</v>
      </c>
      <c r="I49" s="125"/>
      <c r="J49" s="39">
        <v>0.73631284916201112</v>
      </c>
      <c r="K49" s="39">
        <f t="shared" si="2"/>
        <v>0.73631284916201112</v>
      </c>
      <c r="P49" s="19"/>
    </row>
    <row r="50" spans="1:16" ht="47.25">
      <c r="A50" s="21">
        <v>41</v>
      </c>
      <c r="B50" s="14" t="s">
        <v>206</v>
      </c>
      <c r="C50" s="7"/>
      <c r="D50" s="39">
        <v>0.74393976196259415</v>
      </c>
      <c r="E50" s="39">
        <f t="shared" si="0"/>
        <v>0.74393976196259415</v>
      </c>
      <c r="F50" s="7"/>
      <c r="G50" s="39">
        <v>0.74053922759290747</v>
      </c>
      <c r="H50" s="39">
        <f t="shared" si="1"/>
        <v>0.74053922759290747</v>
      </c>
      <c r="I50" s="125"/>
      <c r="J50" s="39">
        <v>0.7766820500364342</v>
      </c>
      <c r="K50" s="39">
        <f t="shared" si="2"/>
        <v>0.7766820500364342</v>
      </c>
      <c r="P50" s="19"/>
    </row>
    <row r="51" spans="1:16" ht="31.5">
      <c r="A51" s="21">
        <v>42</v>
      </c>
      <c r="B51" s="13" t="s">
        <v>183</v>
      </c>
      <c r="C51" s="7"/>
      <c r="D51" s="39">
        <v>0.88098129706096673</v>
      </c>
      <c r="E51" s="39">
        <f t="shared" si="0"/>
        <v>0.88098129706096673</v>
      </c>
      <c r="F51" s="7"/>
      <c r="G51" s="39">
        <v>0.86451299489919842</v>
      </c>
      <c r="H51" s="39">
        <f t="shared" si="1"/>
        <v>0.86451299489919842</v>
      </c>
      <c r="I51" s="125"/>
      <c r="J51" s="39">
        <v>0.88044692737430164</v>
      </c>
      <c r="K51" s="39">
        <f t="shared" si="2"/>
        <v>0.88044692737430164</v>
      </c>
      <c r="P51" s="19"/>
    </row>
    <row r="52" spans="1:16" ht="47.25">
      <c r="A52" s="21">
        <v>43</v>
      </c>
      <c r="B52" s="14" t="s">
        <v>207</v>
      </c>
      <c r="C52" s="7"/>
      <c r="D52" s="39">
        <v>0.6596550886567889</v>
      </c>
      <c r="E52" s="39">
        <f t="shared" si="0"/>
        <v>0.6596550886567889</v>
      </c>
      <c r="F52" s="7"/>
      <c r="G52" s="39">
        <v>0.64644158367743498</v>
      </c>
      <c r="H52" s="39">
        <f t="shared" si="1"/>
        <v>0.64644158367743498</v>
      </c>
      <c r="I52" s="125"/>
      <c r="J52" s="39">
        <v>0.67490891425795485</v>
      </c>
      <c r="K52" s="39">
        <f t="shared" si="2"/>
        <v>0.67490891425795485</v>
      </c>
      <c r="P52" s="19"/>
    </row>
    <row r="53" spans="1:16" ht="47.25">
      <c r="A53" s="21">
        <v>44</v>
      </c>
      <c r="B53" s="13" t="s">
        <v>258</v>
      </c>
      <c r="C53" s="7"/>
      <c r="D53" s="39">
        <v>0.69594364828758803</v>
      </c>
      <c r="E53" s="39">
        <f t="shared" si="0"/>
        <v>0.69594364828758803</v>
      </c>
      <c r="F53" s="7"/>
      <c r="G53" s="39">
        <v>0.6449842118047121</v>
      </c>
      <c r="H53" s="39">
        <f t="shared" si="1"/>
        <v>0.6449842118047121</v>
      </c>
      <c r="I53" s="125"/>
      <c r="J53" s="39">
        <v>0.67568617925674035</v>
      </c>
      <c r="K53" s="39">
        <f t="shared" si="2"/>
        <v>0.67568617925674035</v>
      </c>
      <c r="P53" s="19"/>
    </row>
    <row r="54" spans="1:16" ht="31.5">
      <c r="A54" s="21">
        <v>45</v>
      </c>
      <c r="B54" s="13" t="s">
        <v>246</v>
      </c>
      <c r="C54" s="7"/>
      <c r="D54" s="39">
        <v>0.95234393976196252</v>
      </c>
      <c r="E54" s="39">
        <f t="shared" si="0"/>
        <v>0.95234393976196252</v>
      </c>
      <c r="F54" s="7"/>
      <c r="G54" s="39">
        <v>0.94491134321107606</v>
      </c>
      <c r="H54" s="39">
        <f t="shared" si="1"/>
        <v>0.94491134321107606</v>
      </c>
      <c r="I54" s="125"/>
      <c r="J54" s="39">
        <v>0.93242652416808347</v>
      </c>
      <c r="K54" s="39">
        <f t="shared" si="2"/>
        <v>0.93242652416808347</v>
      </c>
      <c r="P54" s="19"/>
    </row>
    <row r="55" spans="1:16" ht="31.5">
      <c r="A55" s="21">
        <v>46</v>
      </c>
      <c r="B55" s="13" t="s">
        <v>174</v>
      </c>
      <c r="C55" s="7"/>
      <c r="D55" s="39">
        <v>2.3947534612581975</v>
      </c>
      <c r="E55" s="39">
        <f t="shared" si="0"/>
        <v>2.3947534612581975</v>
      </c>
      <c r="F55" s="7"/>
      <c r="G55" s="39">
        <v>2.2571289774107361</v>
      </c>
      <c r="H55" s="39">
        <f t="shared" si="1"/>
        <v>2.2571289774107361</v>
      </c>
      <c r="I55" s="125"/>
      <c r="J55" s="39">
        <v>2.2411950449356324</v>
      </c>
      <c r="K55" s="39">
        <f t="shared" si="2"/>
        <v>2.2411950449356324</v>
      </c>
      <c r="P55" s="19"/>
    </row>
    <row r="56" spans="1:16" ht="31.5">
      <c r="A56" s="21">
        <v>47</v>
      </c>
      <c r="B56" s="14" t="s">
        <v>209</v>
      </c>
      <c r="C56" s="7"/>
      <c r="D56" s="39">
        <v>1.0420694680592664</v>
      </c>
      <c r="E56" s="39">
        <f t="shared" si="0"/>
        <v>1.0420694680592664</v>
      </c>
      <c r="F56" s="7"/>
      <c r="G56" s="39">
        <v>1.0281758562059751</v>
      </c>
      <c r="H56" s="39">
        <f t="shared" si="1"/>
        <v>1.0281758562059751</v>
      </c>
      <c r="I56" s="125"/>
      <c r="J56" s="39">
        <v>0.97784794753461257</v>
      </c>
      <c r="K56" s="39">
        <f t="shared" si="2"/>
        <v>0.97784794753461257</v>
      </c>
      <c r="P56" s="19"/>
    </row>
    <row r="57" spans="1:16" ht="31.5">
      <c r="A57" s="21">
        <v>48</v>
      </c>
      <c r="B57" s="13" t="s">
        <v>253</v>
      </c>
      <c r="C57" s="7"/>
      <c r="D57" s="39">
        <v>1.4644158367743503</v>
      </c>
      <c r="E57" s="39">
        <f t="shared" si="0"/>
        <v>1.4644158367743503</v>
      </c>
      <c r="F57" s="7"/>
      <c r="G57" s="39">
        <v>1.3817828515909643</v>
      </c>
      <c r="H57" s="39">
        <f t="shared" si="1"/>
        <v>1.3817828515909643</v>
      </c>
      <c r="I57" s="125"/>
      <c r="J57" s="39">
        <v>1.4128734515423851</v>
      </c>
      <c r="K57" s="39">
        <f t="shared" si="2"/>
        <v>1.4128734515423851</v>
      </c>
      <c r="P57" s="19"/>
    </row>
    <row r="58" spans="1:16" ht="47.25">
      <c r="A58" s="21">
        <v>49</v>
      </c>
      <c r="B58" s="14" t="s">
        <v>210</v>
      </c>
      <c r="C58" s="7"/>
      <c r="D58" s="39">
        <v>0.90216176827787231</v>
      </c>
      <c r="E58" s="39">
        <f t="shared" si="0"/>
        <v>0.90216176827787231</v>
      </c>
      <c r="F58" s="7"/>
      <c r="G58" s="39">
        <v>0.91508379888268154</v>
      </c>
      <c r="H58" s="39">
        <f t="shared" si="1"/>
        <v>0.91508379888268154</v>
      </c>
      <c r="I58" s="125"/>
      <c r="J58" s="39">
        <v>0.9613310663104202</v>
      </c>
      <c r="K58" s="39">
        <f t="shared" si="2"/>
        <v>0.9613310663104202</v>
      </c>
      <c r="P58" s="19"/>
    </row>
    <row r="59" spans="1:16" ht="47.25">
      <c r="A59" s="21">
        <v>50</v>
      </c>
      <c r="B59" s="14" t="s">
        <v>35</v>
      </c>
      <c r="C59" s="7"/>
      <c r="D59" s="39">
        <v>0.8446927374301676</v>
      </c>
      <c r="E59" s="39">
        <f t="shared" si="0"/>
        <v>0.8446927374301676</v>
      </c>
      <c r="F59" s="7"/>
      <c r="G59" s="39">
        <v>0.84887053679863977</v>
      </c>
      <c r="H59" s="39">
        <f t="shared" si="1"/>
        <v>0.84887053679863977</v>
      </c>
      <c r="I59" s="125"/>
      <c r="J59" s="39">
        <v>0.88268156424581012</v>
      </c>
      <c r="K59" s="39">
        <f t="shared" si="2"/>
        <v>0.88268156424581012</v>
      </c>
      <c r="P59" s="19"/>
    </row>
    <row r="60" spans="1:16" ht="47.25">
      <c r="A60" s="21">
        <v>51</v>
      </c>
      <c r="B60" s="14" t="s">
        <v>211</v>
      </c>
      <c r="C60" s="7"/>
      <c r="D60" s="39">
        <v>0.83444255525868349</v>
      </c>
      <c r="E60" s="39">
        <f t="shared" si="0"/>
        <v>0.83444255525868349</v>
      </c>
      <c r="F60" s="7"/>
      <c r="G60" s="39">
        <v>0.81952878309448629</v>
      </c>
      <c r="H60" s="39">
        <f t="shared" si="1"/>
        <v>0.81952878309448629</v>
      </c>
      <c r="I60" s="125"/>
      <c r="J60" s="39">
        <v>0.83930046150109305</v>
      </c>
      <c r="K60" s="39">
        <f t="shared" si="2"/>
        <v>0.83930046150109305</v>
      </c>
      <c r="P60" s="19"/>
    </row>
    <row r="61" spans="1:16" ht="31.5">
      <c r="A61" s="21">
        <v>52</v>
      </c>
      <c r="B61" s="13" t="s">
        <v>175</v>
      </c>
      <c r="C61" s="7"/>
      <c r="D61" s="39">
        <v>1.735875637600194</v>
      </c>
      <c r="E61" s="39">
        <f t="shared" si="0"/>
        <v>1.735875637600194</v>
      </c>
      <c r="F61" s="7"/>
      <c r="G61" s="39">
        <v>1.5871751275200388</v>
      </c>
      <c r="H61" s="39">
        <f t="shared" si="1"/>
        <v>1.5871751275200388</v>
      </c>
      <c r="I61" s="125"/>
      <c r="J61" s="39">
        <v>1.5220306048093271</v>
      </c>
      <c r="K61" s="39"/>
      <c r="P61" s="19"/>
    </row>
    <row r="62" spans="1:16" ht="31.5">
      <c r="A62" s="21">
        <v>53</v>
      </c>
      <c r="B62" s="14" t="s">
        <v>37</v>
      </c>
      <c r="C62" s="7"/>
      <c r="D62" s="39">
        <v>0.82312363371386921</v>
      </c>
      <c r="E62" s="39">
        <f t="shared" si="0"/>
        <v>0.82312363371386921</v>
      </c>
      <c r="F62" s="7"/>
      <c r="G62" s="39">
        <v>0.85129948991984461</v>
      </c>
      <c r="H62" s="39">
        <f t="shared" si="1"/>
        <v>0.85129948991984461</v>
      </c>
      <c r="I62" s="125"/>
      <c r="J62" s="39">
        <v>0.90245324265241689</v>
      </c>
      <c r="K62" s="39">
        <f t="shared" si="2"/>
        <v>0.90245324265241689</v>
      </c>
      <c r="P62" s="19"/>
    </row>
    <row r="63" spans="1:16" ht="31.5">
      <c r="A63" s="21">
        <v>54</v>
      </c>
      <c r="B63" s="14" t="s">
        <v>39</v>
      </c>
      <c r="C63" s="7"/>
      <c r="D63" s="39">
        <v>0.71814427981539952</v>
      </c>
      <c r="E63" s="39">
        <f t="shared" si="0"/>
        <v>0.71814427981539952</v>
      </c>
      <c r="F63" s="7"/>
      <c r="G63" s="39">
        <v>0.72368229293174635</v>
      </c>
      <c r="H63" s="39">
        <f t="shared" si="1"/>
        <v>0.72368229293174635</v>
      </c>
      <c r="I63" s="125"/>
      <c r="J63" s="39">
        <v>0.77376730629098855</v>
      </c>
      <c r="K63" s="39">
        <f t="shared" si="2"/>
        <v>0.77376730629098855</v>
      </c>
      <c r="P63" s="19"/>
    </row>
    <row r="64" spans="1:16" ht="31.5">
      <c r="A64" s="21">
        <v>55</v>
      </c>
      <c r="B64" s="14" t="s">
        <v>36</v>
      </c>
      <c r="C64" s="7"/>
      <c r="D64" s="39">
        <v>1.045955793053194</v>
      </c>
      <c r="E64" s="39">
        <f t="shared" si="0"/>
        <v>1.045955793053194</v>
      </c>
      <c r="F64" s="7"/>
      <c r="G64" s="39">
        <v>0.99004129220306036</v>
      </c>
      <c r="H64" s="39">
        <f t="shared" si="1"/>
        <v>0.99004129220306036</v>
      </c>
      <c r="I64" s="125"/>
      <c r="J64" s="39">
        <v>1.0079669662375514</v>
      </c>
      <c r="K64" s="39">
        <f t="shared" si="2"/>
        <v>1.0079669662375514</v>
      </c>
      <c r="P64" s="19"/>
    </row>
    <row r="65" spans="1:16" ht="31.5">
      <c r="A65" s="21">
        <v>56</v>
      </c>
      <c r="B65" s="14" t="s">
        <v>212</v>
      </c>
      <c r="C65" s="7"/>
      <c r="D65" s="39">
        <v>0.77026961379645364</v>
      </c>
      <c r="E65" s="39">
        <f t="shared" si="0"/>
        <v>0.77026961379645364</v>
      </c>
      <c r="F65" s="7"/>
      <c r="G65" s="39">
        <v>0.77721641972309929</v>
      </c>
      <c r="H65" s="39">
        <f t="shared" si="1"/>
        <v>0.77721641972309929</v>
      </c>
      <c r="I65" s="125"/>
      <c r="J65" s="39">
        <v>0.82700995870779692</v>
      </c>
      <c r="K65" s="39">
        <f t="shared" si="2"/>
        <v>0.82700995870779692</v>
      </c>
      <c r="P65" s="19"/>
    </row>
    <row r="66" spans="1:16" ht="31.5">
      <c r="A66" s="21">
        <v>57</v>
      </c>
      <c r="B66" s="14" t="s">
        <v>38</v>
      </c>
      <c r="C66" s="7"/>
      <c r="D66" s="39">
        <v>0.97988826815642449</v>
      </c>
      <c r="E66" s="39">
        <f t="shared" si="0"/>
        <v>0.97988826815642449</v>
      </c>
      <c r="F66" s="7"/>
      <c r="G66" s="39">
        <v>0.95088656788923975</v>
      </c>
      <c r="H66" s="39">
        <f t="shared" si="1"/>
        <v>0.95088656788923975</v>
      </c>
      <c r="I66" s="125"/>
      <c r="J66" s="39">
        <v>0.96895797911100323</v>
      </c>
      <c r="K66" s="39">
        <f t="shared" si="2"/>
        <v>0.96895797911100323</v>
      </c>
      <c r="P66" s="19"/>
    </row>
    <row r="67" spans="1:16" ht="47.25">
      <c r="A67" s="21">
        <v>58</v>
      </c>
      <c r="B67" s="14" t="s">
        <v>213</v>
      </c>
      <c r="C67" s="7"/>
      <c r="D67" s="39">
        <v>0.89001700267184847</v>
      </c>
      <c r="E67" s="39">
        <f t="shared" si="0"/>
        <v>0.89001700267184847</v>
      </c>
      <c r="F67" s="7"/>
      <c r="G67" s="39">
        <v>0.85431139179013837</v>
      </c>
      <c r="H67" s="39">
        <f t="shared" si="1"/>
        <v>0.85431139179013837</v>
      </c>
      <c r="I67" s="125"/>
      <c r="J67" s="39">
        <v>0.86582462958464901</v>
      </c>
      <c r="K67" s="39">
        <f t="shared" si="2"/>
        <v>0.86582462958464901</v>
      </c>
      <c r="P67" s="19"/>
    </row>
    <row r="68" spans="1:16" ht="47.25">
      <c r="A68" s="21">
        <v>59</v>
      </c>
      <c r="B68" s="14" t="s">
        <v>214</v>
      </c>
      <c r="C68" s="7"/>
      <c r="D68" s="39">
        <v>0.84124362399805686</v>
      </c>
      <c r="E68" s="39">
        <f t="shared" si="0"/>
        <v>0.84124362399805686</v>
      </c>
      <c r="F68" s="7"/>
      <c r="G68" s="39">
        <v>0.84887053679863977</v>
      </c>
      <c r="H68" s="39">
        <f t="shared" si="1"/>
        <v>0.84887053679863977</v>
      </c>
      <c r="I68" s="125"/>
      <c r="J68" s="39">
        <v>0.88064124362399798</v>
      </c>
      <c r="K68" s="39">
        <f t="shared" si="2"/>
        <v>0.88064124362399798</v>
      </c>
      <c r="P68" s="19"/>
    </row>
    <row r="69" spans="1:16" ht="31.5">
      <c r="A69" s="21">
        <v>60</v>
      </c>
      <c r="B69" s="13" t="s">
        <v>163</v>
      </c>
      <c r="C69" s="7"/>
      <c r="D69" s="39">
        <v>1.8729171726985669</v>
      </c>
      <c r="E69" s="39">
        <f t="shared" si="0"/>
        <v>1.8729171726985669</v>
      </c>
      <c r="F69" s="7"/>
      <c r="G69" s="39">
        <v>1.7190187029390334</v>
      </c>
      <c r="H69" s="39">
        <f t="shared" si="1"/>
        <v>1.7190187029390334</v>
      </c>
      <c r="I69" s="125"/>
      <c r="J69" s="39">
        <v>1.6598979839689092</v>
      </c>
      <c r="K69" s="39">
        <f t="shared" si="2"/>
        <v>1.6598979839689092</v>
      </c>
      <c r="P69" s="19"/>
    </row>
    <row r="70" spans="1:16" ht="47.25">
      <c r="A70" s="21">
        <v>61</v>
      </c>
      <c r="B70" s="14" t="s">
        <v>215</v>
      </c>
      <c r="C70" s="7"/>
      <c r="D70" s="39">
        <v>0.8362399805683749</v>
      </c>
      <c r="E70" s="39">
        <f t="shared" si="0"/>
        <v>0.8362399805683749</v>
      </c>
      <c r="F70" s="7"/>
      <c r="G70" s="39">
        <v>0.80801554529997566</v>
      </c>
      <c r="H70" s="39">
        <f t="shared" si="1"/>
        <v>0.80801554529997566</v>
      </c>
      <c r="I70" s="125"/>
      <c r="J70" s="39">
        <v>0.82385231965023065</v>
      </c>
      <c r="K70" s="39">
        <f t="shared" si="2"/>
        <v>0.82385231965023065</v>
      </c>
      <c r="P70" s="19"/>
    </row>
    <row r="71" spans="1:16" ht="47.25">
      <c r="A71" s="21">
        <v>62</v>
      </c>
      <c r="B71" s="13" t="s">
        <v>170</v>
      </c>
      <c r="C71" s="7"/>
      <c r="D71" s="39">
        <v>1.4298275443283943</v>
      </c>
      <c r="E71" s="39">
        <f t="shared" si="0"/>
        <v>1.4298275443283943</v>
      </c>
      <c r="F71" s="7"/>
      <c r="G71" s="39">
        <v>1.2851105173670148</v>
      </c>
      <c r="H71" s="39">
        <f t="shared" si="1"/>
        <v>1.2851105173670148</v>
      </c>
      <c r="I71" s="125"/>
      <c r="J71" s="39">
        <v>1.2380374058780665</v>
      </c>
      <c r="K71" s="39">
        <f t="shared" si="2"/>
        <v>1.2380374058780665</v>
      </c>
      <c r="P71" s="19"/>
    </row>
    <row r="72" spans="1:16" ht="47.25">
      <c r="A72" s="21">
        <v>63</v>
      </c>
      <c r="B72" s="14" t="s">
        <v>216</v>
      </c>
      <c r="C72" s="7"/>
      <c r="D72" s="39">
        <v>0.90998299732815147</v>
      </c>
      <c r="E72" s="39">
        <f t="shared" si="0"/>
        <v>0.90998299732815147</v>
      </c>
      <c r="F72" s="7"/>
      <c r="G72" s="39">
        <v>0.89035705610881699</v>
      </c>
      <c r="H72" s="39">
        <f t="shared" si="1"/>
        <v>0.89035705610881699</v>
      </c>
      <c r="I72" s="125"/>
      <c r="J72" s="39">
        <v>0.90507651202331796</v>
      </c>
      <c r="K72" s="39">
        <f t="shared" si="2"/>
        <v>0.90507651202331796</v>
      </c>
      <c r="P72" s="19"/>
    </row>
    <row r="73" spans="1:16" ht="31.5">
      <c r="A73" s="21">
        <v>64</v>
      </c>
      <c r="B73" s="13" t="s">
        <v>248</v>
      </c>
      <c r="C73" s="7"/>
      <c r="D73" s="39">
        <v>0.91163468545057069</v>
      </c>
      <c r="E73" s="39">
        <f t="shared" si="0"/>
        <v>0.91163468545057069</v>
      </c>
      <c r="F73" s="7"/>
      <c r="G73" s="39">
        <v>0.87801797425309691</v>
      </c>
      <c r="H73" s="39">
        <f t="shared" si="1"/>
        <v>0.87801797425309691</v>
      </c>
      <c r="I73" s="125"/>
      <c r="J73" s="39">
        <v>0.88545057080398348</v>
      </c>
      <c r="K73" s="39">
        <f t="shared" si="2"/>
        <v>0.88545057080398348</v>
      </c>
      <c r="P73" s="19"/>
    </row>
    <row r="74" spans="1:16" ht="47.25">
      <c r="A74" s="21">
        <v>65</v>
      </c>
      <c r="B74" s="14" t="s">
        <v>217</v>
      </c>
      <c r="C74" s="7"/>
      <c r="D74" s="39">
        <v>0.86062666990527081</v>
      </c>
      <c r="E74" s="39">
        <f t="shared" si="0"/>
        <v>0.86062666990527081</v>
      </c>
      <c r="F74" s="7"/>
      <c r="G74" s="39">
        <v>0.81311634685450562</v>
      </c>
      <c r="H74" s="39">
        <f t="shared" si="1"/>
        <v>0.81311634685450562</v>
      </c>
      <c r="I74" s="125"/>
      <c r="J74" s="39">
        <v>0.82739859120718962</v>
      </c>
      <c r="K74" s="39">
        <f t="shared" si="2"/>
        <v>0.82739859120718962</v>
      </c>
      <c r="P74" s="19"/>
    </row>
    <row r="75" spans="1:16" ht="47.25">
      <c r="A75" s="21">
        <v>66</v>
      </c>
      <c r="B75" s="14" t="s">
        <v>218</v>
      </c>
      <c r="C75" s="7"/>
      <c r="D75" s="39">
        <v>0.95239251882438669</v>
      </c>
      <c r="E75" s="39">
        <f t="shared" ref="E75:E83" si="3">C75+D75</f>
        <v>0.95239251882438669</v>
      </c>
      <c r="F75" s="7"/>
      <c r="G75" s="39">
        <v>0.90405635171241183</v>
      </c>
      <c r="H75" s="39">
        <f t="shared" si="1"/>
        <v>0.90405635171241183</v>
      </c>
      <c r="I75" s="125"/>
      <c r="J75" s="39">
        <v>0.90250182171484084</v>
      </c>
      <c r="K75" s="39">
        <f t="shared" si="2"/>
        <v>0.90250182171484084</v>
      </c>
      <c r="P75" s="19"/>
    </row>
    <row r="76" spans="1:16" ht="47.25">
      <c r="A76" s="21">
        <v>67</v>
      </c>
      <c r="B76" s="14" t="s">
        <v>219</v>
      </c>
      <c r="C76" s="7"/>
      <c r="D76" s="39">
        <v>0.74617439883410241</v>
      </c>
      <c r="E76" s="39">
        <f t="shared" si="3"/>
        <v>0.74617439883410241</v>
      </c>
      <c r="F76" s="7"/>
      <c r="G76" s="39">
        <v>0.77274714598008254</v>
      </c>
      <c r="H76" s="39">
        <f t="shared" si="1"/>
        <v>0.77274714598008254</v>
      </c>
      <c r="I76" s="125"/>
      <c r="J76" s="39">
        <v>0.80582948749089145</v>
      </c>
      <c r="K76" s="39">
        <f t="shared" si="2"/>
        <v>0.80582948749089145</v>
      </c>
      <c r="P76" s="19"/>
    </row>
    <row r="77" spans="1:16" ht="31.5">
      <c r="A77" s="21">
        <v>68</v>
      </c>
      <c r="B77" s="13" t="s">
        <v>59</v>
      </c>
      <c r="C77" s="7"/>
      <c r="D77" s="39">
        <v>0.86781637114403687</v>
      </c>
      <c r="E77" s="39">
        <f t="shared" si="3"/>
        <v>0.86781637114403687</v>
      </c>
      <c r="F77" s="7"/>
      <c r="G77" s="39">
        <v>0.87335438426038381</v>
      </c>
      <c r="H77" s="39">
        <f t="shared" si="1"/>
        <v>0.87335438426038381</v>
      </c>
      <c r="I77" s="125"/>
      <c r="J77" s="39">
        <v>0.91255768763662859</v>
      </c>
      <c r="K77" s="39">
        <f t="shared" si="2"/>
        <v>0.91255768763662859</v>
      </c>
      <c r="P77" s="19"/>
    </row>
    <row r="78" spans="1:16" ht="47.25">
      <c r="A78" s="21">
        <v>69</v>
      </c>
      <c r="B78" s="13" t="s">
        <v>245</v>
      </c>
      <c r="C78" s="7"/>
      <c r="D78" s="39">
        <v>0.8099101287345154</v>
      </c>
      <c r="E78" s="39">
        <f t="shared" si="3"/>
        <v>0.8099101287345154</v>
      </c>
      <c r="F78" s="7"/>
      <c r="G78" s="39">
        <v>0.84401263055623021</v>
      </c>
      <c r="H78" s="39">
        <f t="shared" si="1"/>
        <v>0.84401263055623021</v>
      </c>
      <c r="I78" s="125"/>
      <c r="J78" s="39">
        <v>0.90191887296575168</v>
      </c>
      <c r="K78" s="39">
        <f t="shared" si="2"/>
        <v>0.90191887296575168</v>
      </c>
      <c r="P78" s="19"/>
    </row>
    <row r="79" spans="1:16" ht="47.25">
      <c r="A79" s="21">
        <v>70</v>
      </c>
      <c r="B79" s="14" t="s">
        <v>40</v>
      </c>
      <c r="C79" s="7"/>
      <c r="D79" s="39">
        <v>0.83167354870051013</v>
      </c>
      <c r="E79" s="39">
        <f t="shared" si="3"/>
        <v>0.83167354870051013</v>
      </c>
      <c r="F79" s="7"/>
      <c r="G79" s="39">
        <v>0.82025746903084773</v>
      </c>
      <c r="H79" s="39">
        <f t="shared" si="1"/>
        <v>0.82025746903084773</v>
      </c>
      <c r="I79" s="125"/>
      <c r="J79" s="39">
        <v>0.85018217148409037</v>
      </c>
      <c r="K79" s="39">
        <f t="shared" si="2"/>
        <v>0.85018217148409037</v>
      </c>
      <c r="P79" s="19"/>
    </row>
    <row r="80" spans="1:16" ht="31.5">
      <c r="A80" s="21">
        <v>71</v>
      </c>
      <c r="B80" s="14" t="s">
        <v>221</v>
      </c>
      <c r="C80" s="7"/>
      <c r="D80" s="39">
        <v>1.5309205732329365</v>
      </c>
      <c r="E80" s="39">
        <f t="shared" si="3"/>
        <v>1.5309205732329365</v>
      </c>
      <c r="F80" s="7"/>
      <c r="G80" s="39">
        <v>1.4720427495749331</v>
      </c>
      <c r="H80" s="39">
        <f t="shared" si="1"/>
        <v>1.4720427495749331</v>
      </c>
      <c r="I80" s="125"/>
      <c r="J80" s="39">
        <v>1.4913286373572989</v>
      </c>
      <c r="K80" s="39">
        <f t="shared" si="2"/>
        <v>1.4913286373572989</v>
      </c>
      <c r="P80" s="19"/>
    </row>
    <row r="81" spans="1:16" ht="31.5">
      <c r="A81" s="21">
        <v>72</v>
      </c>
      <c r="B81" s="14" t="s">
        <v>222</v>
      </c>
      <c r="C81" s="7"/>
      <c r="D81" s="39">
        <v>0.86480446927374299</v>
      </c>
      <c r="E81" s="39">
        <f t="shared" si="3"/>
        <v>0.86480446927374299</v>
      </c>
      <c r="F81" s="7"/>
      <c r="G81" s="39">
        <v>0.86509594364828757</v>
      </c>
      <c r="H81" s="39">
        <f t="shared" si="1"/>
        <v>0.86509594364828757</v>
      </c>
      <c r="I81" s="125"/>
      <c r="J81" s="39">
        <v>0.88681078455185802</v>
      </c>
      <c r="K81" s="39">
        <f t="shared" si="2"/>
        <v>0.88681078455185802</v>
      </c>
      <c r="P81" s="19"/>
    </row>
    <row r="82" spans="1:16" ht="47.25">
      <c r="A82" s="21">
        <v>73</v>
      </c>
      <c r="B82" s="14" t="s">
        <v>223</v>
      </c>
      <c r="C82" s="7"/>
      <c r="D82" s="39">
        <v>0.82652416808355589</v>
      </c>
      <c r="E82" s="39">
        <f t="shared" si="3"/>
        <v>0.82652416808355589</v>
      </c>
      <c r="F82" s="7"/>
      <c r="G82" s="39">
        <v>0.86052951178042258</v>
      </c>
      <c r="H82" s="39">
        <f t="shared" si="1"/>
        <v>0.86052951178042258</v>
      </c>
      <c r="I82" s="125"/>
      <c r="J82" s="39">
        <v>0.90221034734029626</v>
      </c>
      <c r="K82" s="39">
        <f t="shared" si="2"/>
        <v>0.90221034734029626</v>
      </c>
      <c r="P82" s="19"/>
    </row>
    <row r="83" spans="1:16" ht="31.5">
      <c r="A83" s="21">
        <v>74</v>
      </c>
      <c r="B83" s="14" t="s">
        <v>224</v>
      </c>
      <c r="C83" s="7"/>
      <c r="D83" s="39">
        <v>0.75307262569832401</v>
      </c>
      <c r="E83" s="39">
        <f t="shared" si="3"/>
        <v>0.75307262569832401</v>
      </c>
      <c r="F83" s="7"/>
      <c r="G83" s="39">
        <v>0.77172698566917652</v>
      </c>
      <c r="H83" s="39">
        <f t="shared" si="1"/>
        <v>0.77172698566917652</v>
      </c>
      <c r="I83" s="125"/>
      <c r="J83" s="39">
        <v>0.82385231965023065</v>
      </c>
      <c r="K83" s="39">
        <f t="shared" si="2"/>
        <v>0.82385231965023065</v>
      </c>
      <c r="P83" s="19"/>
    </row>
    <row r="84" spans="1:16" ht="47.25">
      <c r="A84" s="21">
        <v>75</v>
      </c>
      <c r="B84" s="14" t="s">
        <v>41</v>
      </c>
      <c r="C84" s="7"/>
      <c r="D84" s="39">
        <v>0.76094243381102744</v>
      </c>
      <c r="E84" s="39">
        <f t="shared" ref="E84:E139" si="4">C84+D84</f>
        <v>0.76094243381102744</v>
      </c>
      <c r="F84" s="7"/>
      <c r="G84" s="39">
        <v>0.76011658974981777</v>
      </c>
      <c r="H84" s="39">
        <f t="shared" ref="H84:H139" si="5">G84</f>
        <v>0.76011658974981777</v>
      </c>
      <c r="I84" s="125"/>
      <c r="J84" s="39">
        <v>0.80199174155938791</v>
      </c>
      <c r="K84" s="39">
        <f t="shared" ref="K84:K138" si="6">J84</f>
        <v>0.80199174155938791</v>
      </c>
      <c r="P84" s="19"/>
    </row>
    <row r="85" spans="1:16" ht="47.25">
      <c r="A85" s="21">
        <v>76</v>
      </c>
      <c r="B85" s="13" t="s">
        <v>179</v>
      </c>
      <c r="C85" s="7"/>
      <c r="D85" s="39">
        <v>0.86796210833130927</v>
      </c>
      <c r="E85" s="39">
        <f t="shared" si="4"/>
        <v>0.86796210833130927</v>
      </c>
      <c r="F85" s="7"/>
      <c r="G85" s="39">
        <v>0.87505465144522721</v>
      </c>
      <c r="H85" s="39">
        <f t="shared" si="5"/>
        <v>0.87505465144522721</v>
      </c>
      <c r="I85" s="125"/>
      <c r="J85" s="39">
        <v>0.90765120233179497</v>
      </c>
      <c r="K85" s="39">
        <f t="shared" si="6"/>
        <v>0.90765120233179497</v>
      </c>
      <c r="P85" s="19"/>
    </row>
    <row r="86" spans="1:16" ht="47.25">
      <c r="A86" s="21">
        <v>77</v>
      </c>
      <c r="B86" s="14" t="s">
        <v>226</v>
      </c>
      <c r="C86" s="7"/>
      <c r="D86" s="39">
        <v>0.84216662618411453</v>
      </c>
      <c r="E86" s="39">
        <f t="shared" si="4"/>
        <v>0.84216662618411453</v>
      </c>
      <c r="F86" s="7"/>
      <c r="G86" s="39">
        <v>0.88914257954821474</v>
      </c>
      <c r="H86" s="39">
        <f t="shared" si="5"/>
        <v>0.88914257954821474</v>
      </c>
      <c r="I86" s="125"/>
      <c r="J86" s="39">
        <v>0.90439640514938058</v>
      </c>
      <c r="K86" s="39">
        <f t="shared" si="6"/>
        <v>0.90439640514938058</v>
      </c>
      <c r="P86" s="19"/>
    </row>
    <row r="87" spans="1:16" ht="31.5">
      <c r="A87" s="21">
        <v>78</v>
      </c>
      <c r="B87" s="13" t="s">
        <v>254</v>
      </c>
      <c r="C87" s="7"/>
      <c r="D87" s="39">
        <v>0.79514209375759037</v>
      </c>
      <c r="E87" s="39">
        <f t="shared" si="4"/>
        <v>0.79514209375759037</v>
      </c>
      <c r="F87" s="7"/>
      <c r="G87" s="39">
        <v>0.83988341025018221</v>
      </c>
      <c r="H87" s="39">
        <f t="shared" si="5"/>
        <v>0.83988341025018221</v>
      </c>
      <c r="I87" s="125"/>
      <c r="J87" s="39">
        <v>0.88715083798882677</v>
      </c>
      <c r="K87" s="39">
        <f t="shared" si="6"/>
        <v>0.88715083798882677</v>
      </c>
      <c r="P87" s="19"/>
    </row>
    <row r="88" spans="1:16" ht="47.25">
      <c r="A88" s="21">
        <v>79</v>
      </c>
      <c r="B88" s="13" t="s">
        <v>166</v>
      </c>
      <c r="C88" s="7"/>
      <c r="D88" s="39">
        <v>0.91139179013845029</v>
      </c>
      <c r="E88" s="39">
        <f t="shared" si="4"/>
        <v>0.91139179013845029</v>
      </c>
      <c r="F88" s="7"/>
      <c r="G88" s="39">
        <v>0.91105173670148165</v>
      </c>
      <c r="H88" s="39">
        <f t="shared" si="5"/>
        <v>0.91105173670148165</v>
      </c>
      <c r="I88" s="125"/>
      <c r="J88" s="39">
        <v>0.94670876852076746</v>
      </c>
      <c r="K88" s="39">
        <f t="shared" si="6"/>
        <v>0.94670876852076746</v>
      </c>
      <c r="P88" s="19"/>
    </row>
    <row r="89" spans="1:16" ht="47.25">
      <c r="A89" s="21">
        <v>80</v>
      </c>
      <c r="B89" s="14" t="s">
        <v>227</v>
      </c>
      <c r="C89" s="7"/>
      <c r="D89" s="39">
        <v>0.8170512509108574</v>
      </c>
      <c r="E89" s="39">
        <f t="shared" si="4"/>
        <v>0.8170512509108574</v>
      </c>
      <c r="F89" s="7"/>
      <c r="G89" s="39">
        <v>0.81787709497206695</v>
      </c>
      <c r="H89" s="39">
        <f t="shared" si="5"/>
        <v>0.81787709497206695</v>
      </c>
      <c r="I89" s="125"/>
      <c r="J89" s="39">
        <v>0.83143065338838951</v>
      </c>
      <c r="K89" s="39">
        <f t="shared" si="6"/>
        <v>0.83143065338838951</v>
      </c>
      <c r="P89" s="19"/>
    </row>
    <row r="90" spans="1:16" ht="47.25">
      <c r="A90" s="21">
        <v>81</v>
      </c>
      <c r="B90" s="14" t="s">
        <v>42</v>
      </c>
      <c r="C90" s="7"/>
      <c r="D90" s="39">
        <v>0.75807626912800585</v>
      </c>
      <c r="E90" s="39">
        <f t="shared" si="4"/>
        <v>0.75807626912800585</v>
      </c>
      <c r="F90" s="7"/>
      <c r="G90" s="39">
        <v>0.74253096915229533</v>
      </c>
      <c r="H90" s="39">
        <f t="shared" si="5"/>
        <v>0.74253096915229533</v>
      </c>
      <c r="I90" s="125"/>
      <c r="J90" s="39">
        <v>0.76701481661403925</v>
      </c>
      <c r="K90" s="39">
        <f t="shared" si="6"/>
        <v>0.76701481661403925</v>
      </c>
      <c r="P90" s="19"/>
    </row>
    <row r="91" spans="1:16" ht="47.25">
      <c r="A91" s="21">
        <v>82</v>
      </c>
      <c r="B91" s="14" t="s">
        <v>43</v>
      </c>
      <c r="C91" s="7"/>
      <c r="D91" s="39">
        <v>0.85771192615982506</v>
      </c>
      <c r="E91" s="39">
        <f t="shared" si="4"/>
        <v>0.85771192615982506</v>
      </c>
      <c r="F91" s="7"/>
      <c r="G91" s="39">
        <v>0.87034248239008982</v>
      </c>
      <c r="H91" s="39">
        <f t="shared" si="5"/>
        <v>0.87034248239008982</v>
      </c>
      <c r="I91" s="125"/>
      <c r="J91" s="39">
        <v>0.88190429924702451</v>
      </c>
      <c r="K91" s="39">
        <f t="shared" si="6"/>
        <v>0.88190429924702451</v>
      </c>
      <c r="P91" s="19"/>
    </row>
    <row r="92" spans="1:16" ht="47.25">
      <c r="A92" s="21">
        <v>83</v>
      </c>
      <c r="B92" s="14" t="s">
        <v>44</v>
      </c>
      <c r="C92" s="7"/>
      <c r="D92" s="39">
        <v>0.84410978868107844</v>
      </c>
      <c r="E92" s="39">
        <f t="shared" si="4"/>
        <v>0.84410978868107844</v>
      </c>
      <c r="F92" s="7"/>
      <c r="G92" s="39">
        <v>0.87097401020160303</v>
      </c>
      <c r="H92" s="39">
        <f t="shared" si="5"/>
        <v>0.87097401020160303</v>
      </c>
      <c r="I92" s="125"/>
      <c r="J92" s="39">
        <v>0.90507651202331796</v>
      </c>
      <c r="K92" s="39">
        <f t="shared" si="6"/>
        <v>0.90507651202331796</v>
      </c>
      <c r="P92" s="19"/>
    </row>
    <row r="93" spans="1:16" ht="47.25">
      <c r="A93" s="21">
        <v>84</v>
      </c>
      <c r="B93" s="14" t="s">
        <v>228</v>
      </c>
      <c r="C93" s="7"/>
      <c r="D93" s="39">
        <v>0.77439883410250188</v>
      </c>
      <c r="E93" s="39">
        <f t="shared" si="4"/>
        <v>0.77439883410250188</v>
      </c>
      <c r="F93" s="7"/>
      <c r="G93" s="39">
        <v>0.76531454942919597</v>
      </c>
      <c r="H93" s="39">
        <f t="shared" si="5"/>
        <v>0.76531454942919597</v>
      </c>
      <c r="I93" s="125"/>
      <c r="J93" s="39">
        <v>0.79742530969152292</v>
      </c>
      <c r="K93" s="39">
        <f t="shared" si="6"/>
        <v>0.79742530969152292</v>
      </c>
      <c r="P93" s="19"/>
    </row>
    <row r="94" spans="1:16" ht="47.25">
      <c r="A94" s="21">
        <v>85</v>
      </c>
      <c r="B94" s="14" t="s">
        <v>229</v>
      </c>
      <c r="C94" s="7"/>
      <c r="D94" s="39">
        <v>0.84503279086713623</v>
      </c>
      <c r="E94" s="39">
        <f t="shared" si="4"/>
        <v>0.84503279086713623</v>
      </c>
      <c r="F94" s="7"/>
      <c r="G94" s="39">
        <v>0.8791838717512751</v>
      </c>
      <c r="H94" s="39">
        <f t="shared" si="5"/>
        <v>0.8791838717512751</v>
      </c>
      <c r="I94" s="125"/>
      <c r="J94" s="39">
        <v>0.92747145980082579</v>
      </c>
      <c r="K94" s="39">
        <f t="shared" si="6"/>
        <v>0.92747145980082579</v>
      </c>
      <c r="P94" s="19"/>
    </row>
    <row r="95" spans="1:16" ht="31.5">
      <c r="A95" s="21">
        <v>86</v>
      </c>
      <c r="B95" s="14" t="s">
        <v>45</v>
      </c>
      <c r="C95" s="7"/>
      <c r="D95" s="39">
        <v>0.8818071411221764</v>
      </c>
      <c r="E95" s="39">
        <f t="shared" si="4"/>
        <v>0.8818071411221764</v>
      </c>
      <c r="F95" s="7"/>
      <c r="G95" s="39">
        <v>0.8555744474131648</v>
      </c>
      <c r="H95" s="39">
        <f t="shared" si="5"/>
        <v>0.8555744474131648</v>
      </c>
      <c r="I95" s="125"/>
      <c r="J95" s="39">
        <v>0.87971824143794031</v>
      </c>
      <c r="K95" s="39">
        <f t="shared" si="6"/>
        <v>0.87971824143794031</v>
      </c>
      <c r="P95" s="19"/>
    </row>
    <row r="96" spans="1:16" ht="31.5">
      <c r="A96" s="21">
        <v>87</v>
      </c>
      <c r="B96" s="14" t="s">
        <v>230</v>
      </c>
      <c r="C96" s="7"/>
      <c r="D96" s="39">
        <v>1.0573232936604324</v>
      </c>
      <c r="E96" s="39">
        <f t="shared" si="4"/>
        <v>1.0573232936604324</v>
      </c>
      <c r="F96" s="7"/>
      <c r="G96" s="39">
        <v>1.0273500121447656</v>
      </c>
      <c r="H96" s="39">
        <f t="shared" si="5"/>
        <v>1.0273500121447656</v>
      </c>
      <c r="I96" s="125"/>
      <c r="J96" s="39">
        <v>1.0078212290502793</v>
      </c>
      <c r="K96" s="39">
        <f t="shared" si="6"/>
        <v>1.0078212290502793</v>
      </c>
      <c r="P96" s="19"/>
    </row>
    <row r="97" spans="1:16" ht="47.25">
      <c r="A97" s="21">
        <v>88</v>
      </c>
      <c r="B97" s="14" t="s">
        <v>46</v>
      </c>
      <c r="C97" s="7"/>
      <c r="D97" s="39">
        <v>0.76273985912071895</v>
      </c>
      <c r="E97" s="39">
        <f t="shared" si="4"/>
        <v>0.76273985912071895</v>
      </c>
      <c r="F97" s="7"/>
      <c r="G97" s="39">
        <v>0.76021374787466589</v>
      </c>
      <c r="H97" s="39">
        <f t="shared" si="5"/>
        <v>0.76021374787466589</v>
      </c>
      <c r="I97" s="125"/>
      <c r="J97" s="39">
        <v>0.78445470002428952</v>
      </c>
      <c r="K97" s="39">
        <f t="shared" si="6"/>
        <v>0.78445470002428952</v>
      </c>
      <c r="P97" s="19"/>
    </row>
    <row r="98" spans="1:16" ht="47.25">
      <c r="A98" s="21">
        <v>89</v>
      </c>
      <c r="B98" s="14" t="s">
        <v>47</v>
      </c>
      <c r="C98" s="7"/>
      <c r="D98" s="39">
        <v>0.78605780908428469</v>
      </c>
      <c r="E98" s="39">
        <f t="shared" si="4"/>
        <v>0.78605780908428469</v>
      </c>
      <c r="F98" s="7"/>
      <c r="G98" s="39">
        <v>0.76322564974495988</v>
      </c>
      <c r="H98" s="39">
        <f t="shared" si="5"/>
        <v>0.76322564974495988</v>
      </c>
      <c r="I98" s="125"/>
      <c r="J98" s="39">
        <v>0.76580034005343689</v>
      </c>
      <c r="K98" s="39">
        <f t="shared" si="6"/>
        <v>0.76580034005343689</v>
      </c>
      <c r="P98" s="19"/>
    </row>
    <row r="99" spans="1:16" ht="47.25">
      <c r="A99" s="21">
        <v>90</v>
      </c>
      <c r="B99" s="13" t="s">
        <v>180</v>
      </c>
      <c r="C99" s="7"/>
      <c r="D99" s="39">
        <v>0.79140150595093517</v>
      </c>
      <c r="E99" s="39">
        <f t="shared" si="4"/>
        <v>0.79140150595093517</v>
      </c>
      <c r="F99" s="7"/>
      <c r="G99" s="39">
        <v>0.77182414379402475</v>
      </c>
      <c r="H99" s="39">
        <f t="shared" si="5"/>
        <v>0.77182414379402475</v>
      </c>
      <c r="I99" s="125"/>
      <c r="J99" s="39">
        <v>0.79679378188000971</v>
      </c>
      <c r="K99" s="39">
        <f t="shared" si="6"/>
        <v>0.79679378188000971</v>
      </c>
      <c r="P99" s="19"/>
    </row>
    <row r="100" spans="1:16" ht="31.5">
      <c r="A100" s="21">
        <v>91</v>
      </c>
      <c r="B100" s="14" t="s">
        <v>231</v>
      </c>
      <c r="C100" s="7"/>
      <c r="D100" s="39">
        <v>0.72615982511537525</v>
      </c>
      <c r="E100" s="39">
        <f t="shared" si="4"/>
        <v>0.72615982511537525</v>
      </c>
      <c r="F100" s="7"/>
      <c r="G100" s="39">
        <v>0.74063638571775559</v>
      </c>
      <c r="H100" s="39">
        <f t="shared" si="5"/>
        <v>0.74063638571775559</v>
      </c>
      <c r="I100" s="125"/>
      <c r="J100" s="39">
        <v>0.77658489191158608</v>
      </c>
      <c r="K100" s="39">
        <f t="shared" si="6"/>
        <v>0.77658489191158608</v>
      </c>
      <c r="P100" s="19"/>
    </row>
    <row r="101" spans="1:16" ht="31.5">
      <c r="A101" s="21">
        <v>92</v>
      </c>
      <c r="B101" s="14" t="s">
        <v>232</v>
      </c>
      <c r="C101" s="7"/>
      <c r="D101" s="39">
        <v>0.70658246295846483</v>
      </c>
      <c r="E101" s="39">
        <f t="shared" si="4"/>
        <v>0.70658246295846483</v>
      </c>
      <c r="F101" s="7"/>
      <c r="G101" s="39">
        <v>0.70361914015059501</v>
      </c>
      <c r="H101" s="39">
        <f t="shared" si="5"/>
        <v>0.70361914015059501</v>
      </c>
      <c r="I101" s="125"/>
      <c r="J101" s="39">
        <v>0.7314063638571775</v>
      </c>
      <c r="K101" s="39">
        <f t="shared" si="6"/>
        <v>0.7314063638571775</v>
      </c>
      <c r="P101" s="19"/>
    </row>
    <row r="102" spans="1:16" ht="31.5">
      <c r="A102" s="21">
        <v>93</v>
      </c>
      <c r="B102" s="13" t="s">
        <v>169</v>
      </c>
      <c r="C102" s="7"/>
      <c r="D102" s="39">
        <v>1.3217877094972066</v>
      </c>
      <c r="E102" s="39">
        <f t="shared" si="4"/>
        <v>1.3217877094972066</v>
      </c>
      <c r="F102" s="7"/>
      <c r="G102" s="39">
        <v>1.2981782851590964</v>
      </c>
      <c r="H102" s="39">
        <f t="shared" si="5"/>
        <v>1.2981782851590964</v>
      </c>
      <c r="I102" s="125"/>
      <c r="J102" s="39">
        <v>1.2767063395676463</v>
      </c>
      <c r="K102" s="39">
        <f t="shared" si="6"/>
        <v>1.2767063395676463</v>
      </c>
      <c r="P102" s="19"/>
    </row>
    <row r="103" spans="1:16" ht="47.25">
      <c r="A103" s="21">
        <v>94</v>
      </c>
      <c r="B103" s="14" t="s">
        <v>48</v>
      </c>
      <c r="C103" s="7"/>
      <c r="D103" s="39">
        <v>0.87806655331552097</v>
      </c>
      <c r="E103" s="39">
        <f t="shared" si="4"/>
        <v>0.87806655331552097</v>
      </c>
      <c r="F103" s="7"/>
      <c r="G103" s="39">
        <v>0.83813456400291475</v>
      </c>
      <c r="H103" s="39">
        <f t="shared" si="5"/>
        <v>0.83813456400291475</v>
      </c>
      <c r="I103" s="125"/>
      <c r="J103" s="39">
        <v>0.82934175370415342</v>
      </c>
      <c r="K103" s="39">
        <f t="shared" si="6"/>
        <v>0.82934175370415342</v>
      </c>
      <c r="P103" s="19"/>
    </row>
    <row r="104" spans="1:16" ht="31.5">
      <c r="A104" s="21">
        <v>95</v>
      </c>
      <c r="B104" s="13" t="s">
        <v>167</v>
      </c>
      <c r="C104" s="7"/>
      <c r="D104" s="39">
        <v>1.480641243623998</v>
      </c>
      <c r="E104" s="39">
        <f t="shared" si="4"/>
        <v>1.480641243623998</v>
      </c>
      <c r="F104" s="7"/>
      <c r="G104" s="39">
        <v>1.2654845761476803</v>
      </c>
      <c r="H104" s="39">
        <f t="shared" si="5"/>
        <v>1.2654845761476803</v>
      </c>
      <c r="I104" s="125"/>
      <c r="J104" s="39">
        <v>1.2551858149137722</v>
      </c>
      <c r="K104" s="39">
        <f t="shared" si="6"/>
        <v>1.2551858149137722</v>
      </c>
      <c r="P104" s="19"/>
    </row>
    <row r="105" spans="1:16" ht="31.5">
      <c r="A105" s="21">
        <v>96</v>
      </c>
      <c r="B105" s="14" t="s">
        <v>49</v>
      </c>
      <c r="C105" s="7"/>
      <c r="D105" s="39">
        <v>0.90493077483604567</v>
      </c>
      <c r="E105" s="39">
        <f t="shared" si="4"/>
        <v>0.90493077483604567</v>
      </c>
      <c r="F105" s="7"/>
      <c r="G105" s="39">
        <v>0.89647801797425308</v>
      </c>
      <c r="H105" s="39">
        <f t="shared" si="5"/>
        <v>0.89647801797425308</v>
      </c>
      <c r="I105" s="125"/>
      <c r="J105" s="39">
        <v>0.91406363857177553</v>
      </c>
      <c r="K105" s="39">
        <f t="shared" si="6"/>
        <v>0.91406363857177553</v>
      </c>
      <c r="P105" s="19"/>
    </row>
    <row r="106" spans="1:16" ht="47.25">
      <c r="A106" s="21">
        <v>97</v>
      </c>
      <c r="B106" s="14" t="s">
        <v>233</v>
      </c>
      <c r="C106" s="7"/>
      <c r="D106" s="39">
        <v>0.90371629827544331</v>
      </c>
      <c r="E106" s="39">
        <f t="shared" si="4"/>
        <v>0.90371629827544331</v>
      </c>
      <c r="F106" s="7"/>
      <c r="G106" s="39">
        <v>0.92125333981054158</v>
      </c>
      <c r="H106" s="39">
        <f t="shared" si="5"/>
        <v>0.92125333981054158</v>
      </c>
      <c r="I106" s="125"/>
      <c r="J106" s="39">
        <v>0.94840903570561086</v>
      </c>
      <c r="K106" s="39">
        <f t="shared" si="6"/>
        <v>0.94840903570561086</v>
      </c>
      <c r="P106" s="19"/>
    </row>
    <row r="107" spans="1:16" ht="31.5">
      <c r="A107" s="21">
        <v>98</v>
      </c>
      <c r="B107" s="13" t="s">
        <v>172</v>
      </c>
      <c r="C107" s="7"/>
      <c r="D107" s="39">
        <v>1.1319407335438425</v>
      </c>
      <c r="E107" s="39">
        <f t="shared" si="4"/>
        <v>1.1319407335438425</v>
      </c>
      <c r="F107" s="7"/>
      <c r="G107" s="39">
        <v>1.1127034248239009</v>
      </c>
      <c r="H107" s="39">
        <f t="shared" si="5"/>
        <v>1.1127034248239009</v>
      </c>
      <c r="I107" s="125"/>
      <c r="J107" s="39">
        <v>1.1104687879523925</v>
      </c>
      <c r="K107" s="39">
        <f t="shared" si="6"/>
        <v>1.1104687879523925</v>
      </c>
      <c r="P107" s="19"/>
    </row>
    <row r="108" spans="1:16" ht="47.25">
      <c r="A108" s="21">
        <v>99</v>
      </c>
      <c r="B108" s="14" t="s">
        <v>234</v>
      </c>
      <c r="C108" s="7"/>
      <c r="D108" s="39">
        <v>0.67111974738887537</v>
      </c>
      <c r="E108" s="39">
        <f t="shared" si="4"/>
        <v>0.67111974738887537</v>
      </c>
      <c r="F108" s="7"/>
      <c r="G108" s="39">
        <v>0.69108574204517859</v>
      </c>
      <c r="H108" s="39">
        <f t="shared" si="5"/>
        <v>0.69108574204517859</v>
      </c>
      <c r="I108" s="125"/>
      <c r="J108" s="39">
        <v>0.73976196259412186</v>
      </c>
      <c r="K108" s="39">
        <f t="shared" si="6"/>
        <v>0.73976196259412186</v>
      </c>
      <c r="P108" s="19"/>
    </row>
    <row r="109" spans="1:16" ht="31.5">
      <c r="A109" s="21">
        <v>100</v>
      </c>
      <c r="B109" s="14" t="s">
        <v>50</v>
      </c>
      <c r="C109" s="7"/>
      <c r="D109" s="39">
        <v>0.76366286130677674</v>
      </c>
      <c r="E109" s="39">
        <f t="shared" si="4"/>
        <v>0.76366286130677674</v>
      </c>
      <c r="F109" s="7"/>
      <c r="G109" s="39">
        <v>0.75763905756618899</v>
      </c>
      <c r="H109" s="39">
        <f t="shared" si="5"/>
        <v>0.75763905756618899</v>
      </c>
      <c r="I109" s="125"/>
      <c r="J109" s="39">
        <v>0.77886810784551863</v>
      </c>
      <c r="K109" s="39">
        <f t="shared" si="6"/>
        <v>0.77886810784551863</v>
      </c>
      <c r="P109" s="19"/>
    </row>
    <row r="110" spans="1:16" ht="31.5">
      <c r="A110" s="21">
        <v>101</v>
      </c>
      <c r="B110" s="13" t="s">
        <v>255</v>
      </c>
      <c r="C110" s="7"/>
      <c r="D110" s="39">
        <v>1.0153024046635899</v>
      </c>
      <c r="E110" s="39">
        <f t="shared" si="4"/>
        <v>1.0153024046635899</v>
      </c>
      <c r="F110" s="7"/>
      <c r="G110" s="39">
        <v>0.95414136507165404</v>
      </c>
      <c r="H110" s="39">
        <f t="shared" si="5"/>
        <v>0.95414136507165404</v>
      </c>
      <c r="I110" s="125"/>
      <c r="J110" s="39">
        <v>0.95773621569103706</v>
      </c>
      <c r="K110" s="39">
        <f t="shared" si="6"/>
        <v>0.95773621569103706</v>
      </c>
      <c r="P110" s="19"/>
    </row>
    <row r="111" spans="1:16" ht="47.25">
      <c r="A111" s="21">
        <v>102</v>
      </c>
      <c r="B111" s="14" t="s">
        <v>51</v>
      </c>
      <c r="C111" s="7"/>
      <c r="D111" s="39">
        <v>0.71192615982511531</v>
      </c>
      <c r="E111" s="39">
        <f t="shared" si="4"/>
        <v>0.71192615982511531</v>
      </c>
      <c r="F111" s="7"/>
      <c r="G111" s="39">
        <v>0.70692251639543346</v>
      </c>
      <c r="H111" s="39">
        <f t="shared" si="5"/>
        <v>0.70692251639543346</v>
      </c>
      <c r="I111" s="125"/>
      <c r="J111" s="39">
        <v>0.73548700510080156</v>
      </c>
      <c r="K111" s="39">
        <f t="shared" si="6"/>
        <v>0.73548700510080156</v>
      </c>
      <c r="P111" s="19"/>
    </row>
    <row r="112" spans="1:16" ht="31.5">
      <c r="A112" s="21">
        <v>103</v>
      </c>
      <c r="B112" s="14" t="s">
        <v>235</v>
      </c>
      <c r="C112" s="7"/>
      <c r="D112" s="39">
        <v>0.84265241680835556</v>
      </c>
      <c r="E112" s="39">
        <f t="shared" si="4"/>
        <v>0.84265241680835556</v>
      </c>
      <c r="F112" s="7"/>
      <c r="G112" s="39">
        <v>0.81802283215933924</v>
      </c>
      <c r="H112" s="39">
        <f t="shared" si="5"/>
        <v>0.81802283215933924</v>
      </c>
      <c r="I112" s="125"/>
      <c r="J112" s="39">
        <v>0.84410978868107844</v>
      </c>
      <c r="K112" s="39">
        <f t="shared" si="6"/>
        <v>0.84410978868107844</v>
      </c>
      <c r="P112" s="19"/>
    </row>
    <row r="113" spans="1:16" ht="31.5">
      <c r="A113" s="21">
        <v>104</v>
      </c>
      <c r="B113" s="14" t="s">
        <v>52</v>
      </c>
      <c r="C113" s="7"/>
      <c r="D113" s="39">
        <v>0.73126062666990532</v>
      </c>
      <c r="E113" s="39">
        <f t="shared" si="4"/>
        <v>0.73126062666990532</v>
      </c>
      <c r="F113" s="7"/>
      <c r="G113" s="39">
        <v>0.7275200388632499</v>
      </c>
      <c r="H113" s="39">
        <f t="shared" si="5"/>
        <v>0.7275200388632499</v>
      </c>
      <c r="I113" s="125"/>
      <c r="J113" s="39">
        <v>0.76181685693466117</v>
      </c>
      <c r="K113" s="39">
        <f t="shared" si="6"/>
        <v>0.76181685693466117</v>
      </c>
      <c r="P113" s="19"/>
    </row>
    <row r="114" spans="1:16" ht="31.5">
      <c r="A114" s="21">
        <v>105</v>
      </c>
      <c r="B114" s="14" t="s">
        <v>236</v>
      </c>
      <c r="C114" s="7"/>
      <c r="D114" s="39">
        <v>0.94044206946805931</v>
      </c>
      <c r="E114" s="39">
        <f t="shared" si="4"/>
        <v>0.94044206946805931</v>
      </c>
      <c r="F114" s="7"/>
      <c r="G114" s="39">
        <v>1.0059266456157396</v>
      </c>
      <c r="H114" s="39">
        <f t="shared" si="5"/>
        <v>1.0059266456157396</v>
      </c>
      <c r="I114" s="125"/>
      <c r="J114" s="39">
        <v>0.92436239980568369</v>
      </c>
      <c r="K114" s="39">
        <f t="shared" si="6"/>
        <v>0.92436239980568369</v>
      </c>
      <c r="P114" s="19"/>
    </row>
    <row r="115" spans="1:16" ht="47.25">
      <c r="A115" s="21">
        <v>106</v>
      </c>
      <c r="B115" s="14" t="s">
        <v>53</v>
      </c>
      <c r="C115" s="7"/>
      <c r="D115" s="39">
        <v>0.8162739859120719</v>
      </c>
      <c r="E115" s="39">
        <f t="shared" si="4"/>
        <v>0.8162739859120719</v>
      </c>
      <c r="F115" s="7"/>
      <c r="G115" s="39">
        <v>0.79179013845032786</v>
      </c>
      <c r="H115" s="39">
        <f t="shared" si="5"/>
        <v>0.79179013845032786</v>
      </c>
      <c r="I115" s="125"/>
      <c r="J115" s="39">
        <v>0.80340053436968661</v>
      </c>
      <c r="K115" s="39">
        <f t="shared" si="6"/>
        <v>0.80340053436968661</v>
      </c>
      <c r="P115" s="19"/>
    </row>
    <row r="116" spans="1:16" ht="47.25">
      <c r="A116" s="21">
        <v>107</v>
      </c>
      <c r="B116" s="14" t="s">
        <v>237</v>
      </c>
      <c r="C116" s="7"/>
      <c r="D116" s="39">
        <v>0.91620111731843568</v>
      </c>
      <c r="E116" s="39">
        <f t="shared" si="4"/>
        <v>0.91620111731843568</v>
      </c>
      <c r="F116" s="7"/>
      <c r="G116" s="39">
        <v>0.9329123147923245</v>
      </c>
      <c r="H116" s="39">
        <f t="shared" si="5"/>
        <v>0.9329123147923245</v>
      </c>
      <c r="I116" s="125"/>
      <c r="J116" s="39">
        <v>0.93932475103230495</v>
      </c>
      <c r="K116" s="39">
        <f t="shared" si="6"/>
        <v>0.93932475103230495</v>
      </c>
      <c r="P116" s="19"/>
    </row>
    <row r="117" spans="1:16" ht="31.5">
      <c r="A117" s="21">
        <v>108</v>
      </c>
      <c r="B117" s="13" t="s">
        <v>252</v>
      </c>
      <c r="C117" s="7"/>
      <c r="D117" s="39">
        <v>1.1923730871994171</v>
      </c>
      <c r="E117" s="39">
        <f t="shared" si="4"/>
        <v>1.1923730871994171</v>
      </c>
      <c r="F117" s="7"/>
      <c r="G117" s="39">
        <v>1.1520038863249937</v>
      </c>
      <c r="H117" s="39">
        <f t="shared" si="5"/>
        <v>1.1520038863249937</v>
      </c>
      <c r="I117" s="125"/>
      <c r="J117" s="39">
        <v>1.1327179985426281</v>
      </c>
      <c r="K117" s="39">
        <f t="shared" si="6"/>
        <v>1.1327179985426281</v>
      </c>
      <c r="P117" s="19"/>
    </row>
    <row r="118" spans="1:16" ht="31.5">
      <c r="A118" s="21">
        <v>109</v>
      </c>
      <c r="B118" s="14" t="s">
        <v>238</v>
      </c>
      <c r="C118" s="7"/>
      <c r="D118" s="39">
        <v>0.79747388875394698</v>
      </c>
      <c r="E118" s="39">
        <f t="shared" si="4"/>
        <v>0.79747388875394698</v>
      </c>
      <c r="F118" s="7"/>
      <c r="G118" s="39">
        <v>0.79455914500850133</v>
      </c>
      <c r="H118" s="39">
        <f t="shared" si="5"/>
        <v>0.79455914500850133</v>
      </c>
      <c r="I118" s="125"/>
      <c r="J118" s="39">
        <v>0.81957736215691024</v>
      </c>
      <c r="K118" s="39">
        <f t="shared" si="6"/>
        <v>0.81957736215691024</v>
      </c>
      <c r="P118" s="19"/>
    </row>
    <row r="119" spans="1:16" ht="31.5">
      <c r="A119" s="21">
        <v>110</v>
      </c>
      <c r="B119" s="14" t="s">
        <v>185</v>
      </c>
      <c r="C119" s="7"/>
      <c r="D119" s="39">
        <v>1.0573718727228563</v>
      </c>
      <c r="E119" s="39">
        <f t="shared" si="4"/>
        <v>1.0573718727228563</v>
      </c>
      <c r="F119" s="7"/>
      <c r="G119" s="39">
        <v>0.98931260626669892</v>
      </c>
      <c r="H119" s="39">
        <f t="shared" si="5"/>
        <v>0.98931260626669892</v>
      </c>
      <c r="I119" s="125"/>
      <c r="J119" s="39">
        <v>0.96332280786980795</v>
      </c>
      <c r="K119" s="39">
        <f t="shared" si="6"/>
        <v>0.96332280786980795</v>
      </c>
      <c r="P119" s="19"/>
    </row>
    <row r="120" spans="1:16" ht="31.5">
      <c r="A120" s="21">
        <v>111</v>
      </c>
      <c r="B120" s="13" t="s">
        <v>178</v>
      </c>
      <c r="C120" s="7"/>
      <c r="D120" s="39">
        <v>1.2841389361185329</v>
      </c>
      <c r="E120" s="39">
        <f t="shared" si="4"/>
        <v>1.2841389361185329</v>
      </c>
      <c r="F120" s="7"/>
      <c r="G120" s="39">
        <v>1.1504007772649987</v>
      </c>
      <c r="H120" s="39">
        <f t="shared" si="5"/>
        <v>1.1504007772649987</v>
      </c>
      <c r="I120" s="125"/>
      <c r="J120" s="39">
        <v>1.0870051008015544</v>
      </c>
      <c r="K120" s="39">
        <f t="shared" si="6"/>
        <v>1.0870051008015544</v>
      </c>
      <c r="P120" s="19"/>
    </row>
    <row r="121" spans="1:16" ht="47.25">
      <c r="A121" s="21">
        <v>112</v>
      </c>
      <c r="B121" s="14" t="s">
        <v>54</v>
      </c>
      <c r="C121" s="7"/>
      <c r="D121" s="39">
        <v>0.91493806169540925</v>
      </c>
      <c r="E121" s="39">
        <f t="shared" si="4"/>
        <v>0.91493806169540925</v>
      </c>
      <c r="F121" s="7"/>
      <c r="G121" s="39">
        <v>0.88175856205975223</v>
      </c>
      <c r="H121" s="39">
        <f t="shared" si="5"/>
        <v>0.88175856205975223</v>
      </c>
      <c r="I121" s="125"/>
      <c r="J121" s="39">
        <v>0.89006558173427242</v>
      </c>
      <c r="K121" s="39">
        <f t="shared" si="6"/>
        <v>0.89006558173427242</v>
      </c>
      <c r="P121" s="19"/>
    </row>
    <row r="122" spans="1:16" ht="31.5">
      <c r="A122" s="21">
        <v>113</v>
      </c>
      <c r="B122" s="14" t="s">
        <v>239</v>
      </c>
      <c r="C122" s="7"/>
      <c r="D122" s="39">
        <v>0.83342239494777737</v>
      </c>
      <c r="E122" s="39">
        <f t="shared" si="4"/>
        <v>0.83342239494777737</v>
      </c>
      <c r="F122" s="7"/>
      <c r="G122" s="39">
        <v>0.79553072625698329</v>
      </c>
      <c r="H122" s="39">
        <f t="shared" si="5"/>
        <v>0.79553072625698329</v>
      </c>
      <c r="I122" s="125"/>
      <c r="J122" s="39">
        <v>0.78790381345640037</v>
      </c>
      <c r="K122" s="39">
        <f t="shared" si="6"/>
        <v>0.78790381345640037</v>
      </c>
      <c r="P122" s="19"/>
    </row>
    <row r="123" spans="1:16" ht="47.25">
      <c r="A123" s="21">
        <v>114</v>
      </c>
      <c r="B123" s="14" t="s">
        <v>55</v>
      </c>
      <c r="C123" s="7"/>
      <c r="D123" s="39">
        <v>0.81569103716298275</v>
      </c>
      <c r="E123" s="39">
        <f t="shared" si="4"/>
        <v>0.81569103716298275</v>
      </c>
      <c r="F123" s="7"/>
      <c r="G123" s="39">
        <v>0.79878552343939768</v>
      </c>
      <c r="H123" s="39">
        <f t="shared" si="5"/>
        <v>0.79878552343939768</v>
      </c>
      <c r="I123" s="125"/>
      <c r="J123" s="39">
        <v>0.79329608938547469</v>
      </c>
      <c r="K123" s="39">
        <f t="shared" si="6"/>
        <v>0.79329608938547469</v>
      </c>
      <c r="P123" s="19"/>
    </row>
    <row r="124" spans="1:16" ht="31.5">
      <c r="A124" s="21">
        <v>115</v>
      </c>
      <c r="B124" s="14" t="s">
        <v>240</v>
      </c>
      <c r="C124" s="7"/>
      <c r="D124" s="39">
        <v>0.78430896283701723</v>
      </c>
      <c r="E124" s="39">
        <f t="shared" si="4"/>
        <v>0.78430896283701723</v>
      </c>
      <c r="F124" s="7"/>
      <c r="G124" s="39">
        <v>0.78911829001700262</v>
      </c>
      <c r="H124" s="39">
        <f t="shared" si="5"/>
        <v>0.78911829001700262</v>
      </c>
      <c r="I124" s="125"/>
      <c r="J124" s="39">
        <v>0.80743259655088651</v>
      </c>
      <c r="K124" s="39">
        <f t="shared" si="6"/>
        <v>0.80743259655088651</v>
      </c>
      <c r="P124" s="19"/>
    </row>
    <row r="125" spans="1:16" ht="31.5">
      <c r="A125" s="21">
        <v>116</v>
      </c>
      <c r="B125" s="14" t="s">
        <v>241</v>
      </c>
      <c r="C125" s="7"/>
      <c r="D125" s="39">
        <v>0.80840417779936835</v>
      </c>
      <c r="E125" s="39">
        <f t="shared" si="4"/>
        <v>0.80840417779936835</v>
      </c>
      <c r="F125" s="7"/>
      <c r="G125" s="39">
        <v>0.78430896283701723</v>
      </c>
      <c r="H125" s="39">
        <f t="shared" si="5"/>
        <v>0.78430896283701723</v>
      </c>
      <c r="I125" s="125"/>
      <c r="J125" s="39">
        <v>0.77969395190672819</v>
      </c>
      <c r="K125" s="39">
        <f t="shared" si="6"/>
        <v>0.77969395190672819</v>
      </c>
      <c r="P125" s="19"/>
    </row>
    <row r="126" spans="1:16" ht="47.25">
      <c r="A126" s="21">
        <v>117</v>
      </c>
      <c r="B126" s="14" t="s">
        <v>57</v>
      </c>
      <c r="C126" s="7"/>
      <c r="D126" s="39">
        <v>0.78144279815399553</v>
      </c>
      <c r="E126" s="39">
        <f t="shared" si="4"/>
        <v>0.78144279815399553</v>
      </c>
      <c r="F126" s="7"/>
      <c r="G126" s="39">
        <v>0.77532183628855966</v>
      </c>
      <c r="H126" s="39">
        <f t="shared" si="5"/>
        <v>0.77532183628855966</v>
      </c>
      <c r="I126" s="125"/>
      <c r="J126" s="39">
        <v>0.80349769249453473</v>
      </c>
      <c r="K126" s="39">
        <f t="shared" si="6"/>
        <v>0.80349769249453473</v>
      </c>
      <c r="P126" s="19"/>
    </row>
    <row r="127" spans="1:16" ht="31.5">
      <c r="A127" s="21">
        <v>118</v>
      </c>
      <c r="B127" s="14" t="s">
        <v>242</v>
      </c>
      <c r="C127" s="7"/>
      <c r="D127" s="39">
        <v>0.75273257226135526</v>
      </c>
      <c r="E127" s="39">
        <f t="shared" si="4"/>
        <v>0.75273257226135526</v>
      </c>
      <c r="F127" s="7"/>
      <c r="G127" s="39">
        <v>0.74831187758076267</v>
      </c>
      <c r="H127" s="39">
        <f t="shared" si="5"/>
        <v>0.74831187758076267</v>
      </c>
      <c r="I127" s="125"/>
      <c r="J127" s="39">
        <v>0.77755647316006804</v>
      </c>
      <c r="K127" s="39">
        <f t="shared" si="6"/>
        <v>0.77755647316006804</v>
      </c>
      <c r="P127" s="19"/>
    </row>
    <row r="128" spans="1:16" ht="47.25">
      <c r="A128" s="21">
        <v>119</v>
      </c>
      <c r="B128" s="14" t="s">
        <v>58</v>
      </c>
      <c r="C128" s="7"/>
      <c r="D128" s="39">
        <v>0.75812484819042991</v>
      </c>
      <c r="E128" s="39">
        <f t="shared" si="4"/>
        <v>0.75812484819042991</v>
      </c>
      <c r="F128" s="7"/>
      <c r="G128" s="39">
        <v>0.74015059509351466</v>
      </c>
      <c r="H128" s="39">
        <f t="shared" si="5"/>
        <v>0.74015059509351466</v>
      </c>
      <c r="I128" s="125"/>
      <c r="J128" s="39">
        <v>0.74568860820986149</v>
      </c>
      <c r="K128" s="39">
        <f t="shared" si="6"/>
        <v>0.74568860820986149</v>
      </c>
      <c r="P128" s="19"/>
    </row>
    <row r="129" spans="1:16" ht="47.25">
      <c r="A129" s="21">
        <v>120</v>
      </c>
      <c r="B129" s="14" t="s">
        <v>281</v>
      </c>
      <c r="C129" s="7"/>
      <c r="D129" s="39">
        <v>0.64590721399076989</v>
      </c>
      <c r="E129" s="39">
        <f t="shared" si="4"/>
        <v>0.64590721399076989</v>
      </c>
      <c r="F129" s="7"/>
      <c r="G129" s="39">
        <v>0.72169055137235849</v>
      </c>
      <c r="H129" s="39">
        <f t="shared" si="5"/>
        <v>0.72169055137235849</v>
      </c>
      <c r="I129" s="125"/>
      <c r="J129" s="39">
        <v>0.80607238280301186</v>
      </c>
      <c r="K129" s="39">
        <f t="shared" si="6"/>
        <v>0.80607238280301186</v>
      </c>
      <c r="P129" s="19"/>
    </row>
    <row r="130" spans="1:16" ht="47.25">
      <c r="A130" s="21">
        <v>121</v>
      </c>
      <c r="B130" s="14" t="s">
        <v>225</v>
      </c>
      <c r="C130" s="7"/>
      <c r="D130" s="39">
        <v>0.78761233908185568</v>
      </c>
      <c r="E130" s="39">
        <f t="shared" si="4"/>
        <v>0.78761233908185568</v>
      </c>
      <c r="F130" s="7"/>
      <c r="G130" s="39">
        <v>0.83385960650959434</v>
      </c>
      <c r="H130" s="39">
        <f t="shared" si="5"/>
        <v>0.83385960650959434</v>
      </c>
      <c r="I130" s="125"/>
      <c r="J130" s="39">
        <v>0.87311148894826318</v>
      </c>
      <c r="K130" s="39">
        <f t="shared" si="6"/>
        <v>0.87311148894826318</v>
      </c>
      <c r="P130" s="19"/>
    </row>
    <row r="131" spans="1:16" ht="31.5">
      <c r="A131" s="21">
        <v>122</v>
      </c>
      <c r="B131" s="14" t="s">
        <v>208</v>
      </c>
      <c r="C131" s="7"/>
      <c r="D131" s="39">
        <v>1.1146465873208646</v>
      </c>
      <c r="E131" s="39">
        <f t="shared" si="4"/>
        <v>1.1146465873208646</v>
      </c>
      <c r="F131" s="7"/>
      <c r="G131" s="39">
        <v>1.1114889482632984</v>
      </c>
      <c r="H131" s="39">
        <f t="shared" si="5"/>
        <v>1.1114889482632984</v>
      </c>
      <c r="I131" s="125"/>
      <c r="J131" s="39">
        <v>1.0988583920330337</v>
      </c>
      <c r="K131" s="39">
        <f t="shared" si="6"/>
        <v>1.0988583920330337</v>
      </c>
      <c r="P131" s="19"/>
    </row>
    <row r="132" spans="1:16" ht="47.25">
      <c r="A132" s="21">
        <v>123</v>
      </c>
      <c r="B132" s="14" t="s">
        <v>25</v>
      </c>
      <c r="C132" s="7"/>
      <c r="D132" s="39">
        <v>0.6600437211561816</v>
      </c>
      <c r="E132" s="39">
        <f t="shared" si="4"/>
        <v>0.6600437211561816</v>
      </c>
      <c r="F132" s="7"/>
      <c r="G132" s="39">
        <v>0.67675491863007042</v>
      </c>
      <c r="H132" s="39">
        <f t="shared" si="5"/>
        <v>0.67675491863007042</v>
      </c>
      <c r="I132" s="125"/>
      <c r="J132" s="39">
        <v>0.71260626669905269</v>
      </c>
      <c r="K132" s="39">
        <f t="shared" si="6"/>
        <v>0.71260626669905269</v>
      </c>
      <c r="P132" s="19"/>
    </row>
    <row r="133" spans="1:16" ht="47.25">
      <c r="A133" s="21">
        <v>124</v>
      </c>
      <c r="B133" s="14" t="s">
        <v>191</v>
      </c>
      <c r="C133" s="7"/>
      <c r="D133" s="39">
        <v>0.69837260140879276</v>
      </c>
      <c r="E133" s="39">
        <f t="shared" si="4"/>
        <v>0.69837260140879276</v>
      </c>
      <c r="F133" s="7"/>
      <c r="G133" s="39">
        <v>0.70769978139421907</v>
      </c>
      <c r="H133" s="39">
        <f t="shared" si="5"/>
        <v>0.70769978139421907</v>
      </c>
      <c r="I133" s="125"/>
      <c r="J133" s="39">
        <v>0.75506436725771187</v>
      </c>
      <c r="K133" s="39">
        <f t="shared" si="6"/>
        <v>0.75506436725771187</v>
      </c>
      <c r="P133" s="19"/>
    </row>
    <row r="134" spans="1:16" ht="47.25">
      <c r="A134" s="21">
        <v>125</v>
      </c>
      <c r="B134" s="14" t="s">
        <v>203</v>
      </c>
      <c r="C134" s="7"/>
      <c r="D134" s="39">
        <v>0.70162739859120715</v>
      </c>
      <c r="E134" s="39">
        <f t="shared" si="4"/>
        <v>0.70162739859120715</v>
      </c>
      <c r="F134" s="7"/>
      <c r="G134" s="39">
        <v>0.69686665047364582</v>
      </c>
      <c r="H134" s="39">
        <f t="shared" si="5"/>
        <v>0.69686665047364582</v>
      </c>
      <c r="I134" s="125"/>
      <c r="J134" s="39">
        <v>0.73704153509837256</v>
      </c>
      <c r="K134" s="39">
        <f t="shared" si="6"/>
        <v>0.73704153509837256</v>
      </c>
      <c r="P134" s="19"/>
    </row>
    <row r="135" spans="1:16" ht="47.25">
      <c r="A135" s="21">
        <v>126</v>
      </c>
      <c r="B135" s="14" t="s">
        <v>285</v>
      </c>
      <c r="C135" s="7"/>
      <c r="D135" s="39">
        <v>0.99164440126305564</v>
      </c>
      <c r="E135" s="39">
        <f t="shared" si="4"/>
        <v>0.99164440126305564</v>
      </c>
      <c r="F135" s="7"/>
      <c r="G135" s="39">
        <v>0.88384746174398821</v>
      </c>
      <c r="H135" s="39">
        <f t="shared" si="5"/>
        <v>0.88384746174398821</v>
      </c>
      <c r="I135" s="125"/>
      <c r="J135" s="39">
        <v>0.8422152052465387</v>
      </c>
      <c r="K135" s="39">
        <f t="shared" si="6"/>
        <v>0.8422152052465387</v>
      </c>
      <c r="P135" s="19"/>
    </row>
    <row r="136" spans="1:16" ht="47.25">
      <c r="A136" s="21">
        <v>127</v>
      </c>
      <c r="B136" s="14" t="s">
        <v>56</v>
      </c>
      <c r="C136" s="7"/>
      <c r="D136" s="39">
        <v>0.86344425552586834</v>
      </c>
      <c r="E136" s="39">
        <f t="shared" si="4"/>
        <v>0.86344425552586834</v>
      </c>
      <c r="F136" s="7"/>
      <c r="G136" s="39">
        <v>0.82472674277386449</v>
      </c>
      <c r="H136" s="39">
        <f t="shared" si="5"/>
        <v>0.82472674277386449</v>
      </c>
      <c r="I136" s="125"/>
      <c r="J136" s="39">
        <v>0.81088170998299736</v>
      </c>
      <c r="K136" s="39">
        <f t="shared" si="6"/>
        <v>0.81088170998299736</v>
      </c>
      <c r="P136" s="19"/>
    </row>
    <row r="137" spans="1:16" ht="47.25">
      <c r="A137" s="21">
        <v>128</v>
      </c>
      <c r="B137" s="14" t="s">
        <v>33</v>
      </c>
      <c r="C137" s="7"/>
      <c r="D137" s="39">
        <v>0.67009958707796935</v>
      </c>
      <c r="E137" s="39">
        <f t="shared" si="4"/>
        <v>0.67009958707796935</v>
      </c>
      <c r="F137" s="7"/>
      <c r="G137" s="39">
        <v>0.79732815156667469</v>
      </c>
      <c r="H137" s="39">
        <f t="shared" si="5"/>
        <v>0.79732815156667469</v>
      </c>
      <c r="I137" s="125"/>
      <c r="J137" s="39">
        <v>0.8867136264270099</v>
      </c>
      <c r="K137" s="39">
        <f t="shared" si="6"/>
        <v>0.8867136264270099</v>
      </c>
      <c r="P137" s="19"/>
    </row>
    <row r="138" spans="1:16" ht="47.25">
      <c r="A138" s="21">
        <v>129</v>
      </c>
      <c r="B138" s="14" t="s">
        <v>220</v>
      </c>
      <c r="C138" s="7"/>
      <c r="D138" s="39">
        <v>0.8488219577362156</v>
      </c>
      <c r="E138" s="39">
        <f t="shared" si="4"/>
        <v>0.8488219577362156</v>
      </c>
      <c r="F138" s="7"/>
      <c r="G138" s="39">
        <v>0.8551858149137721</v>
      </c>
      <c r="H138" s="39">
        <f t="shared" si="5"/>
        <v>0.8551858149137721</v>
      </c>
      <c r="I138" s="125"/>
      <c r="J138" s="39">
        <v>0.90405635171241183</v>
      </c>
      <c r="K138" s="39">
        <f t="shared" si="6"/>
        <v>0.90405635171241183</v>
      </c>
      <c r="P138" s="19"/>
    </row>
    <row r="139" spans="1:16" ht="31.5">
      <c r="A139" s="21">
        <v>130</v>
      </c>
      <c r="B139" s="14" t="s">
        <v>243</v>
      </c>
      <c r="C139" s="7"/>
      <c r="D139" s="39">
        <v>0.76871508379888265</v>
      </c>
      <c r="E139" s="39">
        <f t="shared" si="4"/>
        <v>0.76871508379888265</v>
      </c>
      <c r="F139" s="7"/>
      <c r="G139" s="39">
        <v>0.76521739130434785</v>
      </c>
      <c r="H139" s="39">
        <f t="shared" si="5"/>
        <v>0.76521739130434785</v>
      </c>
      <c r="I139" s="125"/>
      <c r="J139" s="39">
        <v>0.78256011658974989</v>
      </c>
      <c r="K139" s="39">
        <f t="shared" ref="K139" si="7">J139</f>
        <v>0.78256011658974989</v>
      </c>
      <c r="P139" s="19"/>
    </row>
    <row r="141" spans="1:16" ht="15.75">
      <c r="B141" s="151" t="s">
        <v>324</v>
      </c>
    </row>
  </sheetData>
  <mergeCells count="5">
    <mergeCell ref="B2:J4"/>
    <mergeCell ref="C8:E8"/>
    <mergeCell ref="F8:H8"/>
    <mergeCell ref="I8:K8"/>
    <mergeCell ref="B9:K9"/>
  </mergeCells>
  <pageMargins left="0.25" right="0.25" top="0.32" bottom="0.31" header="0.3" footer="0.3"/>
  <pageSetup paperSize="9" scale="7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16</vt:i4>
      </vt:variant>
      <vt:variant>
        <vt:lpstr>Именованные диапазоны</vt:lpstr>
      </vt:variant>
      <vt:variant>
        <vt:i4>5</vt:i4>
      </vt:variant>
    </vt:vector>
  </HeadingPairs>
  <TitlesOfParts>
    <vt:vector size="21" baseType="lpstr">
      <vt:lpstr>2016-2018_</vt:lpstr>
      <vt:lpstr>коэффициенты </vt:lpstr>
      <vt:lpstr>2017н</vt:lpstr>
      <vt:lpstr>2018н</vt:lpstr>
      <vt:lpstr>2017-2018</vt:lpstr>
      <vt:lpstr>2017</vt:lpstr>
      <vt:lpstr>2018</vt:lpstr>
      <vt:lpstr>2019</vt:lpstr>
      <vt:lpstr>коэффициенты1</vt:lpstr>
      <vt:lpstr>2017-2018 в разрезе видов</vt:lpstr>
      <vt:lpstr>последний вариант</vt:lpstr>
      <vt:lpstr>компенсир</vt:lpstr>
      <vt:lpstr>бассейн</vt:lpstr>
      <vt:lpstr>2 корпуса</vt:lpstr>
      <vt:lpstr>обычные</vt:lpstr>
      <vt:lpstr>градация по кол-ву детей</vt:lpstr>
      <vt:lpstr>'2016-2018_'!Область_печати</vt:lpstr>
      <vt:lpstr>'2017-2018'!Область_печати</vt:lpstr>
      <vt:lpstr>'2017-2018 в разрезе видов'!Область_печати</vt:lpstr>
      <vt:lpstr>'2017н'!Область_печати</vt:lpstr>
      <vt:lpstr>'последний вариант'!Область_печати</vt:lpstr>
    </vt:vector>
  </TitlesOfParts>
  <Company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2017-07-31T09:59:44Z</dcterms:modified>
</cp:coreProperties>
</file>